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23 A VR 24 - 2026 UAECOB/"/>
    </mc:Choice>
  </mc:AlternateContent>
  <xr:revisionPtr revIDLastSave="812" documentId="8_{D84826FD-BEB1-4298-AE06-69C06119AAC1}" xr6:coauthVersionLast="47" xr6:coauthVersionMax="47" xr10:uidLastSave="{AAFAF69F-F638-44D7-AC84-0576885CA56B}"/>
  <bookViews>
    <workbookView xWindow="-110" yWindow="-110" windowWidth="19420" windowHeight="11500" tabRatio="702" activeTab="1" xr2:uid="{00000000-000D-0000-FFFF-FFFF00000000}"/>
  </bookViews>
  <sheets>
    <sheet name="TD PAA Vr 24" sheetId="16" r:id="rId1"/>
    <sheet name="PAA VR24 2026 UAECOB BCS" sheetId="1" r:id="rId2"/>
    <sheet name="Control PAA Vr0" sheetId="9" state="hidden" r:id="rId3"/>
    <sheet name="Distribución Pptal Inv" sheetId="6" state="hidden" r:id="rId4"/>
    <sheet name="TD" sheetId="4" r:id="rId5"/>
    <sheet name="resumen" sheetId="2" state="hidden" r:id="rId6"/>
  </sheets>
  <definedNames>
    <definedName name="_xlnm._FilterDatabase" localSheetId="1" hidden="1">'PAA VR24 2026 UAECOB BCS'!#REF!</definedName>
    <definedName name="_xlnm._FilterDatabase" localSheetId="4" hidden="1">TD!$J$70:$K$70</definedName>
    <definedName name="_Hlk177992892" localSheetId="1">'PAA VR24 2026 UAECOB BCS'!#REF!</definedName>
    <definedName name="Sec_Prog_MGA">#REF!</definedName>
  </definedNames>
  <calcPr calcId="191029"/>
  <pivotCaches>
    <pivotCache cacheId="26" r:id="rId7"/>
    <pivotCache cacheId="34"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1" l="1"/>
  <c r="J283" i="1"/>
  <c r="AB288" i="1"/>
  <c r="AC288" i="1" s="1"/>
  <c r="Y288" i="1"/>
  <c r="Z288" i="1" s="1"/>
  <c r="U5" i="1"/>
  <c r="S288" i="1"/>
  <c r="T288" i="1"/>
  <c r="U288" i="1"/>
  <c r="V288" i="1"/>
  <c r="W288" i="1"/>
  <c r="AI288" i="1"/>
  <c r="AB60" i="1"/>
  <c r="AC60" i="1" s="1"/>
  <c r="Y60" i="1"/>
  <c r="Z60" i="1" s="1"/>
  <c r="S60" i="1"/>
  <c r="T60" i="1"/>
  <c r="AI60" i="1" s="1"/>
  <c r="U60" i="1"/>
  <c r="V60" i="1"/>
  <c r="W60" i="1"/>
  <c r="AB59" i="1"/>
  <c r="AC59" i="1" s="1"/>
  <c r="Y59" i="1"/>
  <c r="Z59" i="1" s="1"/>
  <c r="AB58" i="1"/>
  <c r="Y58" i="1"/>
  <c r="Z58" i="1" s="1"/>
  <c r="AB57" i="1"/>
  <c r="AC57" i="1" s="1"/>
  <c r="Y57" i="1"/>
  <c r="Z57" i="1" s="1"/>
  <c r="S59" i="1"/>
  <c r="T59" i="1"/>
  <c r="U59" i="1"/>
  <c r="V59" i="1"/>
  <c r="W59" i="1"/>
  <c r="AI59" i="1"/>
  <c r="S58" i="1"/>
  <c r="T58" i="1"/>
  <c r="U58" i="1"/>
  <c r="V58" i="1"/>
  <c r="W58" i="1"/>
  <c r="AC58" i="1"/>
  <c r="AI58" i="1"/>
  <c r="S57" i="1"/>
  <c r="T57" i="1"/>
  <c r="AI57" i="1" s="1"/>
  <c r="U57" i="1"/>
  <c r="V57" i="1"/>
  <c r="W57" i="1"/>
  <c r="AB56" i="1"/>
  <c r="AC56" i="1" s="1"/>
  <c r="Y56" i="1"/>
  <c r="Z56" i="1" s="1"/>
  <c r="S56" i="1"/>
  <c r="T56" i="1"/>
  <c r="U56" i="1"/>
  <c r="V56" i="1"/>
  <c r="W56" i="1"/>
  <c r="AI56" i="1"/>
  <c r="AB55" i="1"/>
  <c r="AC55" i="1" s="1"/>
  <c r="Y55" i="1"/>
  <c r="Z55" i="1" s="1"/>
  <c r="S55" i="1"/>
  <c r="T55" i="1"/>
  <c r="U55" i="1"/>
  <c r="V55" i="1"/>
  <c r="W55" i="1"/>
  <c r="AI55" i="1"/>
  <c r="AB54" i="1"/>
  <c r="AC54" i="1" s="1"/>
  <c r="AB53" i="1"/>
  <c r="AC53" i="1" s="1"/>
  <c r="Y54" i="1"/>
  <c r="Z54" i="1" s="1"/>
  <c r="Y53" i="1"/>
  <c r="S54" i="1"/>
  <c r="T54" i="1"/>
  <c r="U54" i="1"/>
  <c r="V54" i="1"/>
  <c r="W54" i="1"/>
  <c r="AI54" i="1"/>
  <c r="S53" i="1"/>
  <c r="T53" i="1"/>
  <c r="U53" i="1"/>
  <c r="V53" i="1"/>
  <c r="W53" i="1"/>
  <c r="Z53" i="1"/>
  <c r="AB52" i="1"/>
  <c r="AC52" i="1" s="1"/>
  <c r="Y52" i="1"/>
  <c r="Z52" i="1" s="1"/>
  <c r="AB51" i="1"/>
  <c r="AC51" i="1" s="1"/>
  <c r="Y51" i="1"/>
  <c r="Z51" i="1" s="1"/>
  <c r="S52" i="1"/>
  <c r="T52" i="1"/>
  <c r="AI52" i="1" s="1"/>
  <c r="U52" i="1"/>
  <c r="V52" i="1"/>
  <c r="W52" i="1"/>
  <c r="S51" i="1"/>
  <c r="T51" i="1"/>
  <c r="U51" i="1"/>
  <c r="V51" i="1"/>
  <c r="W51" i="1"/>
  <c r="AI51" i="1"/>
  <c r="AB50" i="1"/>
  <c r="AC50" i="1" s="1"/>
  <c r="Y50" i="1"/>
  <c r="S50" i="1"/>
  <c r="T50" i="1"/>
  <c r="U50" i="1"/>
  <c r="V50" i="1"/>
  <c r="W50" i="1"/>
  <c r="Z50" i="1"/>
  <c r="AB49" i="1"/>
  <c r="AC49" i="1" s="1"/>
  <c r="Y49" i="1"/>
  <c r="Z49" i="1" s="1"/>
  <c r="S49" i="1"/>
  <c r="T49" i="1"/>
  <c r="U49" i="1"/>
  <c r="V49" i="1"/>
  <c r="W49" i="1"/>
  <c r="AB48" i="1"/>
  <c r="AC48" i="1" s="1"/>
  <c r="Y48" i="1"/>
  <c r="Z48" i="1" s="1"/>
  <c r="U48" i="1"/>
  <c r="V48" i="1"/>
  <c r="W48" i="1"/>
  <c r="AI48" i="1"/>
  <c r="J31" i="1"/>
  <c r="AB47" i="1"/>
  <c r="AB46" i="1"/>
  <c r="AB45" i="1"/>
  <c r="AC45" i="1" s="1"/>
  <c r="AB44" i="1"/>
  <c r="AC44" i="1" s="1"/>
  <c r="AB43" i="1"/>
  <c r="AC43" i="1" s="1"/>
  <c r="Y47" i="1"/>
  <c r="Z47" i="1" s="1"/>
  <c r="Y46" i="1"/>
  <c r="Z46" i="1" s="1"/>
  <c r="Y45" i="1"/>
  <c r="Z45" i="1" s="1"/>
  <c r="Y44" i="1"/>
  <c r="Z44" i="1" s="1"/>
  <c r="Y43" i="1"/>
  <c r="Z43" i="1" s="1"/>
  <c r="S43" i="1"/>
  <c r="S44" i="1"/>
  <c r="S45" i="1"/>
  <c r="S46" i="1"/>
  <c r="S47" i="1"/>
  <c r="T43" i="1"/>
  <c r="T44" i="1"/>
  <c r="T45" i="1"/>
  <c r="T46" i="1"/>
  <c r="AI46" i="1" s="1"/>
  <c r="T47" i="1"/>
  <c r="U43" i="1"/>
  <c r="U44" i="1"/>
  <c r="U45" i="1"/>
  <c r="U46" i="1"/>
  <c r="U47" i="1"/>
  <c r="V43" i="1"/>
  <c r="V44" i="1"/>
  <c r="V45" i="1"/>
  <c r="V46" i="1"/>
  <c r="V47" i="1"/>
  <c r="W43" i="1"/>
  <c r="AE43" i="1" s="1"/>
  <c r="W44" i="1"/>
  <c r="AE44" i="1" s="1"/>
  <c r="W45" i="1"/>
  <c r="W46" i="1"/>
  <c r="AE46" i="1" s="1"/>
  <c r="W47" i="1"/>
  <c r="AC46" i="1"/>
  <c r="AC47" i="1"/>
  <c r="AI43" i="1"/>
  <c r="AI44" i="1"/>
  <c r="AI45" i="1"/>
  <c r="AI47" i="1"/>
  <c r="J531" i="1"/>
  <c r="J797" i="1"/>
  <c r="J230" i="1"/>
  <c r="J229" i="1"/>
  <c r="AB1036" i="1"/>
  <c r="AC1036" i="1" s="1"/>
  <c r="Y1036" i="1"/>
  <c r="Z1036" i="1" s="1"/>
  <c r="S1036" i="1"/>
  <c r="T1036" i="1"/>
  <c r="U1036" i="1"/>
  <c r="V1036" i="1"/>
  <c r="W1036" i="1"/>
  <c r="AB1035" i="1"/>
  <c r="AC1035" i="1" s="1"/>
  <c r="AB1034" i="1"/>
  <c r="AC1034" i="1" s="1"/>
  <c r="Y1035" i="1"/>
  <c r="Z1035" i="1" s="1"/>
  <c r="Y1034" i="1"/>
  <c r="Z1034" i="1" s="1"/>
  <c r="S1035" i="1"/>
  <c r="T1035" i="1"/>
  <c r="U1035" i="1"/>
  <c r="V1035" i="1"/>
  <c r="W1035" i="1"/>
  <c r="S1034" i="1"/>
  <c r="T1034" i="1"/>
  <c r="U1034" i="1"/>
  <c r="V1034" i="1"/>
  <c r="W1034" i="1"/>
  <c r="AI1034" i="1"/>
  <c r="AB42" i="1"/>
  <c r="AC42" i="1" s="1"/>
  <c r="AB41" i="1"/>
  <c r="AB1033" i="1"/>
  <c r="Y42" i="1"/>
  <c r="Z42" i="1" s="1"/>
  <c r="Y41" i="1"/>
  <c r="Z41" i="1" s="1"/>
  <c r="Y1033" i="1"/>
  <c r="S42" i="1"/>
  <c r="T42" i="1"/>
  <c r="U42" i="1"/>
  <c r="V42" i="1"/>
  <c r="W42" i="1"/>
  <c r="AI42" i="1"/>
  <c r="S41" i="1"/>
  <c r="T41" i="1"/>
  <c r="U41" i="1"/>
  <c r="V41" i="1"/>
  <c r="W41" i="1"/>
  <c r="AC41" i="1"/>
  <c r="AI41" i="1"/>
  <c r="S1033" i="1"/>
  <c r="T1033" i="1"/>
  <c r="U1033" i="1"/>
  <c r="V1033" i="1"/>
  <c r="W1033" i="1"/>
  <c r="Z1033" i="1"/>
  <c r="AC1033" i="1"/>
  <c r="AI1033" i="1"/>
  <c r="AB1031" i="1"/>
  <c r="AC1031" i="1" s="1"/>
  <c r="AB1032" i="1"/>
  <c r="AB1030" i="1"/>
  <c r="Y1031" i="1"/>
  <c r="Z1031" i="1" s="1"/>
  <c r="Y1032" i="1"/>
  <c r="Y1030" i="1"/>
  <c r="S1031" i="1"/>
  <c r="T1031" i="1"/>
  <c r="U1031" i="1"/>
  <c r="V1031" i="1"/>
  <c r="W1031" i="1"/>
  <c r="AI1031" i="1"/>
  <c r="S1032" i="1"/>
  <c r="T1032" i="1"/>
  <c r="U1032" i="1"/>
  <c r="V1032" i="1"/>
  <c r="W1032" i="1"/>
  <c r="Z1032" i="1"/>
  <c r="AC1032" i="1"/>
  <c r="AI1032" i="1"/>
  <c r="S1030" i="1"/>
  <c r="T1030" i="1"/>
  <c r="U1030" i="1"/>
  <c r="V1030" i="1"/>
  <c r="W1030" i="1"/>
  <c r="Z1030" i="1"/>
  <c r="AC1030" i="1"/>
  <c r="AI1030" i="1"/>
  <c r="AB1029" i="1"/>
  <c r="AB1028" i="1"/>
  <c r="AB1027" i="1"/>
  <c r="AB1026" i="1"/>
  <c r="AB1025" i="1"/>
  <c r="Y1029" i="1"/>
  <c r="Z1029" i="1" s="1"/>
  <c r="Y1028" i="1"/>
  <c r="Z1028" i="1" s="1"/>
  <c r="Y1027" i="1"/>
  <c r="Z1027" i="1" s="1"/>
  <c r="Y1026" i="1"/>
  <c r="Z1026" i="1" s="1"/>
  <c r="Y1025" i="1"/>
  <c r="Z1025" i="1" s="1"/>
  <c r="AB40" i="1"/>
  <c r="Y40" i="1"/>
  <c r="Z40" i="1" s="1"/>
  <c r="S1029" i="1"/>
  <c r="T1029" i="1"/>
  <c r="U1029" i="1"/>
  <c r="V1029" i="1"/>
  <c r="W1029" i="1"/>
  <c r="AC1029" i="1"/>
  <c r="S1028" i="1"/>
  <c r="T1028" i="1"/>
  <c r="U1028" i="1"/>
  <c r="V1028" i="1"/>
  <c r="W1028" i="1"/>
  <c r="AC1028" i="1"/>
  <c r="S1027" i="1"/>
  <c r="T1027" i="1"/>
  <c r="U1027" i="1"/>
  <c r="V1027" i="1"/>
  <c r="W1027" i="1"/>
  <c r="AC1027" i="1"/>
  <c r="AI1027" i="1"/>
  <c r="S1026" i="1"/>
  <c r="T1026" i="1"/>
  <c r="U1026" i="1"/>
  <c r="V1026" i="1"/>
  <c r="W1026" i="1"/>
  <c r="AC1026" i="1"/>
  <c r="AI1026" i="1"/>
  <c r="S1025" i="1"/>
  <c r="T1025" i="1"/>
  <c r="U1025" i="1"/>
  <c r="V1025" i="1"/>
  <c r="W1025" i="1"/>
  <c r="AC1025" i="1"/>
  <c r="S40" i="1"/>
  <c r="T40" i="1"/>
  <c r="U40" i="1"/>
  <c r="V40" i="1"/>
  <c r="W40" i="1"/>
  <c r="AC40" i="1"/>
  <c r="AI40" i="1"/>
  <c r="AB1024" i="1"/>
  <c r="AC1024" i="1" s="1"/>
  <c r="AB1023" i="1"/>
  <c r="AB1022" i="1"/>
  <c r="AB1021" i="1"/>
  <c r="AC1021" i="1" s="1"/>
  <c r="AB1020" i="1"/>
  <c r="AC1020" i="1" s="1"/>
  <c r="AB1019" i="1"/>
  <c r="AB1018" i="1"/>
  <c r="Y1024" i="1"/>
  <c r="Z1024" i="1" s="1"/>
  <c r="Y1023" i="1"/>
  <c r="Y1022" i="1"/>
  <c r="Z1022" i="1" s="1"/>
  <c r="Y1021" i="1"/>
  <c r="Z1021" i="1" s="1"/>
  <c r="Y1020" i="1"/>
  <c r="Z1020" i="1" s="1"/>
  <c r="Y1019" i="1"/>
  <c r="Z1019" i="1" s="1"/>
  <c r="Y1018" i="1"/>
  <c r="S1024" i="1"/>
  <c r="T1024" i="1"/>
  <c r="U1024" i="1"/>
  <c r="V1024" i="1"/>
  <c r="W1024" i="1"/>
  <c r="S1023" i="1"/>
  <c r="T1023" i="1"/>
  <c r="U1023" i="1"/>
  <c r="V1023" i="1"/>
  <c r="W1023" i="1"/>
  <c r="Z1023" i="1"/>
  <c r="AC1023" i="1"/>
  <c r="S1022" i="1"/>
  <c r="AI1022" i="1" s="1"/>
  <c r="T1022" i="1"/>
  <c r="U1022" i="1"/>
  <c r="V1022" i="1"/>
  <c r="W1022" i="1"/>
  <c r="AC1022" i="1"/>
  <c r="S1021" i="1"/>
  <c r="T1021" i="1"/>
  <c r="U1021" i="1"/>
  <c r="V1021" i="1"/>
  <c r="W1021" i="1"/>
  <c r="AI1021" i="1"/>
  <c r="S1020" i="1"/>
  <c r="T1020" i="1"/>
  <c r="U1020" i="1"/>
  <c r="V1020" i="1"/>
  <c r="W1020" i="1"/>
  <c r="S1019" i="1"/>
  <c r="T1019" i="1"/>
  <c r="U1019" i="1"/>
  <c r="V1019" i="1"/>
  <c r="W1019" i="1"/>
  <c r="AC1019" i="1"/>
  <c r="AI1019" i="1"/>
  <c r="S1018" i="1"/>
  <c r="T1018" i="1"/>
  <c r="U1018" i="1"/>
  <c r="V1018" i="1"/>
  <c r="W1018" i="1"/>
  <c r="Z1018" i="1"/>
  <c r="AC1018" i="1"/>
  <c r="AF39" i="1"/>
  <c r="AI1017" i="1"/>
  <c r="AI39" i="1"/>
  <c r="AI1015" i="1"/>
  <c r="AI1014" i="1"/>
  <c r="AI1013" i="1"/>
  <c r="AI1012" i="1"/>
  <c r="AF1015" i="1"/>
  <c r="AF1014" i="1"/>
  <c r="AF1013" i="1"/>
  <c r="AF1012" i="1"/>
  <c r="AE1017" i="1"/>
  <c r="AE39" i="1"/>
  <c r="AE1015" i="1"/>
  <c r="AE1014" i="1"/>
  <c r="AE1013" i="1"/>
  <c r="AE1012" i="1"/>
  <c r="AB1017" i="1"/>
  <c r="AC1017" i="1" s="1"/>
  <c r="AB1016" i="1"/>
  <c r="AC1016" i="1" s="1"/>
  <c r="AB39" i="1"/>
  <c r="AB1015" i="1"/>
  <c r="AB1014" i="1"/>
  <c r="AB1013" i="1"/>
  <c r="AB1012" i="1"/>
  <c r="Y1017" i="1"/>
  <c r="Z1017" i="1" s="1"/>
  <c r="Y1016" i="1"/>
  <c r="Y39" i="1"/>
  <c r="Y1015" i="1"/>
  <c r="Y1014" i="1"/>
  <c r="Y1013" i="1"/>
  <c r="Y1012" i="1"/>
  <c r="S1016" i="1"/>
  <c r="T1016" i="1"/>
  <c r="U1016" i="1"/>
  <c r="V1016" i="1"/>
  <c r="W1016" i="1"/>
  <c r="Z1016" i="1"/>
  <c r="AB1011" i="1"/>
  <c r="AC1011" i="1" s="1"/>
  <c r="AB38" i="1"/>
  <c r="AC38" i="1" s="1"/>
  <c r="AB1010" i="1"/>
  <c r="AC1010" i="1" s="1"/>
  <c r="AB1009" i="1"/>
  <c r="AC1009" i="1" s="1"/>
  <c r="AB1008" i="1"/>
  <c r="AC1008" i="1" s="1"/>
  <c r="AB1007" i="1"/>
  <c r="AC1007" i="1" s="1"/>
  <c r="AB1006" i="1"/>
  <c r="AC1006" i="1" s="1"/>
  <c r="AB1005" i="1"/>
  <c r="AC1005" i="1" s="1"/>
  <c r="Y1011" i="1"/>
  <c r="Z1011" i="1" s="1"/>
  <c r="Y38" i="1"/>
  <c r="Z38" i="1" s="1"/>
  <c r="Y1010" i="1"/>
  <c r="Z1010" i="1" s="1"/>
  <c r="Y1009" i="1"/>
  <c r="Z1009" i="1" s="1"/>
  <c r="Y1008" i="1"/>
  <c r="Z1008" i="1" s="1"/>
  <c r="Y1007" i="1"/>
  <c r="Z1007" i="1" s="1"/>
  <c r="Y1006" i="1"/>
  <c r="Z1006" i="1" s="1"/>
  <c r="Y1005" i="1"/>
  <c r="Z1005" i="1" s="1"/>
  <c r="AB1004" i="1"/>
  <c r="AC1004" i="1" s="1"/>
  <c r="AB1003" i="1"/>
  <c r="AC1003" i="1" s="1"/>
  <c r="AB1002" i="1"/>
  <c r="AC1002" i="1" s="1"/>
  <c r="Y1004" i="1"/>
  <c r="Z1004" i="1" s="1"/>
  <c r="Y1003" i="1"/>
  <c r="Z1003" i="1" s="1"/>
  <c r="Y1002" i="1"/>
  <c r="Z1002" i="1" s="1"/>
  <c r="S1011" i="1"/>
  <c r="T1011" i="1"/>
  <c r="U1011" i="1"/>
  <c r="V1011" i="1"/>
  <c r="W1011" i="1"/>
  <c r="S38" i="1"/>
  <c r="T38" i="1"/>
  <c r="U38" i="1"/>
  <c r="V38" i="1"/>
  <c r="W38" i="1"/>
  <c r="S1010" i="1"/>
  <c r="T1010" i="1"/>
  <c r="U1010" i="1"/>
  <c r="V1010" i="1"/>
  <c r="W1010" i="1"/>
  <c r="S1009" i="1"/>
  <c r="T1009" i="1"/>
  <c r="U1009" i="1"/>
  <c r="V1009" i="1"/>
  <c r="W1009" i="1"/>
  <c r="S1008" i="1"/>
  <c r="T1008" i="1"/>
  <c r="U1008" i="1"/>
  <c r="V1008" i="1"/>
  <c r="W1008" i="1"/>
  <c r="S1007" i="1"/>
  <c r="T1007" i="1"/>
  <c r="U1007" i="1"/>
  <c r="V1007" i="1"/>
  <c r="W1007" i="1"/>
  <c r="S1006" i="1"/>
  <c r="T1006" i="1"/>
  <c r="U1006" i="1"/>
  <c r="V1006" i="1"/>
  <c r="W1006" i="1"/>
  <c r="S1005" i="1"/>
  <c r="T1005" i="1"/>
  <c r="U1005" i="1"/>
  <c r="V1005" i="1"/>
  <c r="W1005" i="1"/>
  <c r="S1004" i="1"/>
  <c r="T1004" i="1"/>
  <c r="U1004" i="1"/>
  <c r="V1004" i="1"/>
  <c r="W1004" i="1"/>
  <c r="S1003" i="1"/>
  <c r="T1003" i="1"/>
  <c r="U1003" i="1"/>
  <c r="V1003" i="1"/>
  <c r="W1003" i="1"/>
  <c r="S1002" i="1"/>
  <c r="T1002" i="1"/>
  <c r="U1002" i="1"/>
  <c r="V1002" i="1"/>
  <c r="W1002" i="1"/>
  <c r="AB1001" i="1"/>
  <c r="AC1001" i="1" s="1"/>
  <c r="AB1000" i="1"/>
  <c r="AC1000" i="1" s="1"/>
  <c r="AB999" i="1"/>
  <c r="AC999" i="1" s="1"/>
  <c r="AB998" i="1"/>
  <c r="AC998" i="1" s="1"/>
  <c r="AB997" i="1"/>
  <c r="AC997" i="1" s="1"/>
  <c r="AB996" i="1"/>
  <c r="AC996" i="1" s="1"/>
  <c r="AB995" i="1"/>
  <c r="AC995" i="1" s="1"/>
  <c r="AB994" i="1"/>
  <c r="AC994" i="1" s="1"/>
  <c r="AB993" i="1"/>
  <c r="AC993" i="1" s="1"/>
  <c r="AB992" i="1"/>
  <c r="AC992" i="1" s="1"/>
  <c r="AB37" i="1"/>
  <c r="AC37" i="1" s="1"/>
  <c r="Y1001" i="1"/>
  <c r="Z1001" i="1" s="1"/>
  <c r="Y1000" i="1"/>
  <c r="Z1000" i="1" s="1"/>
  <c r="Y999" i="1"/>
  <c r="Z999" i="1" s="1"/>
  <c r="Y998" i="1"/>
  <c r="Z998" i="1" s="1"/>
  <c r="Y997" i="1"/>
  <c r="Z997" i="1" s="1"/>
  <c r="Y996" i="1"/>
  <c r="Z996" i="1" s="1"/>
  <c r="Y995" i="1"/>
  <c r="Z995" i="1" s="1"/>
  <c r="Y994" i="1"/>
  <c r="Z994" i="1" s="1"/>
  <c r="Y993" i="1"/>
  <c r="Z993" i="1" s="1"/>
  <c r="Y992" i="1"/>
  <c r="Z992" i="1" s="1"/>
  <c r="Y37" i="1"/>
  <c r="Z37" i="1" s="1"/>
  <c r="S1001" i="1"/>
  <c r="T1001" i="1"/>
  <c r="U1001" i="1"/>
  <c r="V1001" i="1"/>
  <c r="W1001" i="1"/>
  <c r="S1000" i="1"/>
  <c r="T1000" i="1"/>
  <c r="U1000" i="1"/>
  <c r="V1000" i="1"/>
  <c r="W1000" i="1"/>
  <c r="S999" i="1"/>
  <c r="T999" i="1"/>
  <c r="U999" i="1"/>
  <c r="V999" i="1"/>
  <c r="W999" i="1"/>
  <c r="S998" i="1"/>
  <c r="T998" i="1"/>
  <c r="U998" i="1"/>
  <c r="V998" i="1"/>
  <c r="W998" i="1"/>
  <c r="S997" i="1"/>
  <c r="T997" i="1"/>
  <c r="U997" i="1"/>
  <c r="V997" i="1"/>
  <c r="W997" i="1"/>
  <c r="S996" i="1"/>
  <c r="T996" i="1"/>
  <c r="U996" i="1"/>
  <c r="V996" i="1"/>
  <c r="W996" i="1"/>
  <c r="S995" i="1"/>
  <c r="T995" i="1"/>
  <c r="U995" i="1"/>
  <c r="V995" i="1"/>
  <c r="W995" i="1"/>
  <c r="S994" i="1"/>
  <c r="T994" i="1"/>
  <c r="U994" i="1"/>
  <c r="V994" i="1"/>
  <c r="W994" i="1"/>
  <c r="S993" i="1"/>
  <c r="T993" i="1"/>
  <c r="U993" i="1"/>
  <c r="V993" i="1"/>
  <c r="W993" i="1"/>
  <c r="AB991" i="1"/>
  <c r="AC991" i="1" s="1"/>
  <c r="Y991" i="1"/>
  <c r="Z991" i="1" s="1"/>
  <c r="AB990" i="1"/>
  <c r="AC990" i="1" s="1"/>
  <c r="Y990" i="1"/>
  <c r="Z990" i="1" s="1"/>
  <c r="AB989" i="1"/>
  <c r="AC989" i="1" s="1"/>
  <c r="AB988" i="1"/>
  <c r="AC988" i="1" s="1"/>
  <c r="Y989" i="1"/>
  <c r="Z989" i="1" s="1"/>
  <c r="Y988" i="1"/>
  <c r="Z988" i="1" s="1"/>
  <c r="AB987" i="1"/>
  <c r="AC987" i="1" s="1"/>
  <c r="Y987" i="1"/>
  <c r="Z987" i="1" s="1"/>
  <c r="AB986" i="1"/>
  <c r="AC986" i="1" s="1"/>
  <c r="Y986" i="1"/>
  <c r="Z986" i="1" s="1"/>
  <c r="AB985" i="1"/>
  <c r="AC985" i="1" s="1"/>
  <c r="Y985" i="1"/>
  <c r="Z985" i="1" s="1"/>
  <c r="AB984" i="1"/>
  <c r="AC984" i="1" s="1"/>
  <c r="Y984" i="1"/>
  <c r="Z984" i="1" s="1"/>
  <c r="AB983" i="1"/>
  <c r="AC983" i="1" s="1"/>
  <c r="Y983" i="1"/>
  <c r="Z983" i="1" s="1"/>
  <c r="AB982" i="1"/>
  <c r="AC982" i="1" s="1"/>
  <c r="AB981" i="1"/>
  <c r="AC981" i="1" s="1"/>
  <c r="AB980" i="1"/>
  <c r="AC980" i="1" s="1"/>
  <c r="AB979" i="1"/>
  <c r="AC979" i="1" s="1"/>
  <c r="Y982" i="1"/>
  <c r="Z982" i="1" s="1"/>
  <c r="Y981" i="1"/>
  <c r="Z981" i="1" s="1"/>
  <c r="Y980" i="1"/>
  <c r="Z980" i="1" s="1"/>
  <c r="Y979" i="1"/>
  <c r="Z979" i="1" s="1"/>
  <c r="S992" i="1"/>
  <c r="T992" i="1"/>
  <c r="U992" i="1"/>
  <c r="V992" i="1"/>
  <c r="W992" i="1"/>
  <c r="S37" i="1"/>
  <c r="T37" i="1"/>
  <c r="U37" i="1"/>
  <c r="V37" i="1"/>
  <c r="W37" i="1"/>
  <c r="S991" i="1"/>
  <c r="T991" i="1"/>
  <c r="U991" i="1"/>
  <c r="V991" i="1"/>
  <c r="W991" i="1"/>
  <c r="S990" i="1"/>
  <c r="T990" i="1"/>
  <c r="U990" i="1"/>
  <c r="V990" i="1"/>
  <c r="W990" i="1"/>
  <c r="S989" i="1"/>
  <c r="T989" i="1"/>
  <c r="U989" i="1"/>
  <c r="V989" i="1"/>
  <c r="W989" i="1"/>
  <c r="S988" i="1"/>
  <c r="T988" i="1"/>
  <c r="U988" i="1"/>
  <c r="V988" i="1"/>
  <c r="W988" i="1"/>
  <c r="S987" i="1"/>
  <c r="T987" i="1"/>
  <c r="U987" i="1"/>
  <c r="V987" i="1"/>
  <c r="W987" i="1"/>
  <c r="S986" i="1"/>
  <c r="T986" i="1"/>
  <c r="U986" i="1"/>
  <c r="V986" i="1"/>
  <c r="W986" i="1"/>
  <c r="S985" i="1"/>
  <c r="T985" i="1"/>
  <c r="U985" i="1"/>
  <c r="V985" i="1"/>
  <c r="W985" i="1"/>
  <c r="S984" i="1"/>
  <c r="T984" i="1"/>
  <c r="U984" i="1"/>
  <c r="V984" i="1"/>
  <c r="W984" i="1"/>
  <c r="S983" i="1"/>
  <c r="T983" i="1"/>
  <c r="U983" i="1"/>
  <c r="V983" i="1"/>
  <c r="W983" i="1"/>
  <c r="S982" i="1"/>
  <c r="T982" i="1"/>
  <c r="U982" i="1"/>
  <c r="V982" i="1"/>
  <c r="W982" i="1"/>
  <c r="S981" i="1"/>
  <c r="T981" i="1"/>
  <c r="U981" i="1"/>
  <c r="V981" i="1"/>
  <c r="W981" i="1"/>
  <c r="S980" i="1"/>
  <c r="T980" i="1"/>
  <c r="U980" i="1"/>
  <c r="V980" i="1"/>
  <c r="W980" i="1"/>
  <c r="S979" i="1"/>
  <c r="T979" i="1"/>
  <c r="U979" i="1"/>
  <c r="V979" i="1"/>
  <c r="W979" i="1"/>
  <c r="AB978" i="1"/>
  <c r="AC978" i="1" s="1"/>
  <c r="AB977" i="1"/>
  <c r="AC977" i="1" s="1"/>
  <c r="AB976" i="1"/>
  <c r="AC976" i="1" s="1"/>
  <c r="Y978" i="1"/>
  <c r="Z978" i="1" s="1"/>
  <c r="Y977" i="1"/>
  <c r="Z977" i="1" s="1"/>
  <c r="Y976" i="1"/>
  <c r="Z976" i="1" s="1"/>
  <c r="S978" i="1"/>
  <c r="T978" i="1"/>
  <c r="U978" i="1"/>
  <c r="V978" i="1"/>
  <c r="W978" i="1"/>
  <c r="S977" i="1"/>
  <c r="T977" i="1"/>
  <c r="U977" i="1"/>
  <c r="V977" i="1"/>
  <c r="W977" i="1"/>
  <c r="S976" i="1"/>
  <c r="T976" i="1"/>
  <c r="U976" i="1"/>
  <c r="V976" i="1"/>
  <c r="W976" i="1"/>
  <c r="AB975" i="1"/>
  <c r="AC975" i="1" s="1"/>
  <c r="Y975" i="1"/>
  <c r="Z975" i="1" s="1"/>
  <c r="AB974" i="1"/>
  <c r="AC974" i="1" s="1"/>
  <c r="AB973" i="1"/>
  <c r="AC973" i="1" s="1"/>
  <c r="AB972" i="1"/>
  <c r="AC972" i="1" s="1"/>
  <c r="AB971" i="1"/>
  <c r="AC971" i="1" s="1"/>
  <c r="AB970" i="1"/>
  <c r="AC970" i="1" s="1"/>
  <c r="AB969" i="1"/>
  <c r="AC969" i="1" s="1"/>
  <c r="AB968" i="1"/>
  <c r="AC968" i="1" s="1"/>
  <c r="AB967" i="1"/>
  <c r="AC967" i="1" s="1"/>
  <c r="Y972" i="1"/>
  <c r="Z972" i="1" s="1"/>
  <c r="Y974" i="1"/>
  <c r="Z974" i="1" s="1"/>
  <c r="Y973" i="1"/>
  <c r="Z973" i="1" s="1"/>
  <c r="Y971" i="1"/>
  <c r="Z971" i="1" s="1"/>
  <c r="Y970" i="1"/>
  <c r="Z970" i="1" s="1"/>
  <c r="Y969" i="1"/>
  <c r="Z969" i="1" s="1"/>
  <c r="Y968" i="1"/>
  <c r="Z968" i="1" s="1"/>
  <c r="Y967" i="1"/>
  <c r="Z967" i="1" s="1"/>
  <c r="S975" i="1"/>
  <c r="T975" i="1"/>
  <c r="U975" i="1"/>
  <c r="V975" i="1"/>
  <c r="W975" i="1"/>
  <c r="S974" i="1"/>
  <c r="T974" i="1"/>
  <c r="U974" i="1"/>
  <c r="V974" i="1"/>
  <c r="W974" i="1"/>
  <c r="S973" i="1"/>
  <c r="T973" i="1"/>
  <c r="U973" i="1"/>
  <c r="V973" i="1"/>
  <c r="W973" i="1"/>
  <c r="S972" i="1"/>
  <c r="T972" i="1"/>
  <c r="U972" i="1"/>
  <c r="V972" i="1"/>
  <c r="W972" i="1"/>
  <c r="S971" i="1"/>
  <c r="T971" i="1"/>
  <c r="U971" i="1"/>
  <c r="V971" i="1"/>
  <c r="W971" i="1"/>
  <c r="S970" i="1"/>
  <c r="T970" i="1"/>
  <c r="U970" i="1"/>
  <c r="V970" i="1"/>
  <c r="W970" i="1"/>
  <c r="S969" i="1"/>
  <c r="T969" i="1"/>
  <c r="U969" i="1"/>
  <c r="V969" i="1"/>
  <c r="W969" i="1"/>
  <c r="S968" i="1"/>
  <c r="T968" i="1"/>
  <c r="U968" i="1"/>
  <c r="V968" i="1"/>
  <c r="W968" i="1"/>
  <c r="S967" i="1"/>
  <c r="T967" i="1"/>
  <c r="U967" i="1"/>
  <c r="V967" i="1"/>
  <c r="W967" i="1"/>
  <c r="AB966" i="1"/>
  <c r="AC966" i="1" s="1"/>
  <c r="AB965" i="1"/>
  <c r="AC965" i="1" s="1"/>
  <c r="AB964" i="1"/>
  <c r="AC964" i="1" s="1"/>
  <c r="AB963" i="1"/>
  <c r="AC963" i="1" s="1"/>
  <c r="AB962" i="1"/>
  <c r="AC962" i="1" s="1"/>
  <c r="AB961" i="1"/>
  <c r="AC961" i="1" s="1"/>
  <c r="AB960" i="1"/>
  <c r="AC960" i="1" s="1"/>
  <c r="AB959" i="1"/>
  <c r="AC959" i="1" s="1"/>
  <c r="AB958" i="1"/>
  <c r="AC958" i="1" s="1"/>
  <c r="AB957" i="1"/>
  <c r="AC957" i="1" s="1"/>
  <c r="AB956" i="1"/>
  <c r="AC956" i="1" s="1"/>
  <c r="AB955" i="1"/>
  <c r="AC955" i="1" s="1"/>
  <c r="AB954" i="1"/>
  <c r="AC954" i="1" s="1"/>
  <c r="AB953" i="1"/>
  <c r="AC953" i="1" s="1"/>
  <c r="AB952" i="1"/>
  <c r="AC952" i="1" s="1"/>
  <c r="Y966" i="1"/>
  <c r="Z966" i="1" s="1"/>
  <c r="Y965" i="1"/>
  <c r="Z965" i="1" s="1"/>
  <c r="Y964" i="1"/>
  <c r="Z964" i="1" s="1"/>
  <c r="Y963" i="1"/>
  <c r="Z963" i="1" s="1"/>
  <c r="Y962" i="1"/>
  <c r="Z962" i="1" s="1"/>
  <c r="Y961" i="1"/>
  <c r="Z961" i="1" s="1"/>
  <c r="Y960" i="1"/>
  <c r="Z960" i="1" s="1"/>
  <c r="Y959" i="1"/>
  <c r="Z959" i="1" s="1"/>
  <c r="Y958" i="1"/>
  <c r="Z958" i="1" s="1"/>
  <c r="Y957" i="1"/>
  <c r="Z957" i="1" s="1"/>
  <c r="Y956" i="1"/>
  <c r="Z956" i="1" s="1"/>
  <c r="Y955" i="1"/>
  <c r="Z955" i="1" s="1"/>
  <c r="Y954" i="1"/>
  <c r="Z954" i="1" s="1"/>
  <c r="Y953" i="1"/>
  <c r="Z953" i="1" s="1"/>
  <c r="Y952" i="1"/>
  <c r="Z952" i="1" s="1"/>
  <c r="S952" i="1"/>
  <c r="S953" i="1"/>
  <c r="S954" i="1"/>
  <c r="S955" i="1"/>
  <c r="S956" i="1"/>
  <c r="S957" i="1"/>
  <c r="S958" i="1"/>
  <c r="S959" i="1"/>
  <c r="S960" i="1"/>
  <c r="S961" i="1"/>
  <c r="S962" i="1"/>
  <c r="S963" i="1"/>
  <c r="S964" i="1"/>
  <c r="S965" i="1"/>
  <c r="S966" i="1"/>
  <c r="T952" i="1"/>
  <c r="T953" i="1"/>
  <c r="T954" i="1"/>
  <c r="T955" i="1"/>
  <c r="T956" i="1"/>
  <c r="T957" i="1"/>
  <c r="T958" i="1"/>
  <c r="T959" i="1"/>
  <c r="T960" i="1"/>
  <c r="T961" i="1"/>
  <c r="T962" i="1"/>
  <c r="T963" i="1"/>
  <c r="T964" i="1"/>
  <c r="T965" i="1"/>
  <c r="T966" i="1"/>
  <c r="U952" i="1"/>
  <c r="U953" i="1"/>
  <c r="U954" i="1"/>
  <c r="U955" i="1"/>
  <c r="U956" i="1"/>
  <c r="U957" i="1"/>
  <c r="U958" i="1"/>
  <c r="U959" i="1"/>
  <c r="U960" i="1"/>
  <c r="U961" i="1"/>
  <c r="U962" i="1"/>
  <c r="U963" i="1"/>
  <c r="U964" i="1"/>
  <c r="U965" i="1"/>
  <c r="U966" i="1"/>
  <c r="V952" i="1"/>
  <c r="V953" i="1"/>
  <c r="V954" i="1"/>
  <c r="V955" i="1"/>
  <c r="V956" i="1"/>
  <c r="V957" i="1"/>
  <c r="V958" i="1"/>
  <c r="V959" i="1"/>
  <c r="V960" i="1"/>
  <c r="V961" i="1"/>
  <c r="V962" i="1"/>
  <c r="V963" i="1"/>
  <c r="V964" i="1"/>
  <c r="V965" i="1"/>
  <c r="V966" i="1"/>
  <c r="W952" i="1"/>
  <c r="W953" i="1"/>
  <c r="W954" i="1"/>
  <c r="W955" i="1"/>
  <c r="W956" i="1"/>
  <c r="W957" i="1"/>
  <c r="W958" i="1"/>
  <c r="W959" i="1"/>
  <c r="W960" i="1"/>
  <c r="W961" i="1"/>
  <c r="W962" i="1"/>
  <c r="W963" i="1"/>
  <c r="W964" i="1"/>
  <c r="W965" i="1"/>
  <c r="W966" i="1"/>
  <c r="AB951" i="1"/>
  <c r="AC951" i="1" s="1"/>
  <c r="Y951" i="1"/>
  <c r="Z951" i="1" s="1"/>
  <c r="AB950" i="1"/>
  <c r="AC950" i="1" s="1"/>
  <c r="Y950" i="1"/>
  <c r="Z950" i="1" s="1"/>
  <c r="S950" i="1"/>
  <c r="S951" i="1"/>
  <c r="T950" i="1"/>
  <c r="T951" i="1"/>
  <c r="U950" i="1"/>
  <c r="U951" i="1"/>
  <c r="V950" i="1"/>
  <c r="V951" i="1"/>
  <c r="W950" i="1"/>
  <c r="W951" i="1"/>
  <c r="AB949" i="1"/>
  <c r="AC949" i="1" s="1"/>
  <c r="Y949" i="1"/>
  <c r="Z949" i="1" s="1"/>
  <c r="AB948" i="1"/>
  <c r="AC948" i="1" s="1"/>
  <c r="Y948" i="1"/>
  <c r="Z948" i="1" s="1"/>
  <c r="S949" i="1"/>
  <c r="T949" i="1"/>
  <c r="U949" i="1"/>
  <c r="V949" i="1"/>
  <c r="W949" i="1"/>
  <c r="S948" i="1"/>
  <c r="T948" i="1"/>
  <c r="U948" i="1"/>
  <c r="V948" i="1"/>
  <c r="W948" i="1"/>
  <c r="AB947" i="1"/>
  <c r="AC947" i="1" s="1"/>
  <c r="Y947" i="1"/>
  <c r="Z947" i="1" s="1"/>
  <c r="S947" i="1"/>
  <c r="T947" i="1"/>
  <c r="U947" i="1"/>
  <c r="V947" i="1"/>
  <c r="W947" i="1"/>
  <c r="AB946" i="1"/>
  <c r="AC946" i="1" s="1"/>
  <c r="Y946" i="1"/>
  <c r="Z946" i="1" s="1"/>
  <c r="AB944" i="1"/>
  <c r="AC944" i="1" s="1"/>
  <c r="Y944" i="1"/>
  <c r="Z944" i="1" s="1"/>
  <c r="AB945" i="1"/>
  <c r="AC945" i="1" s="1"/>
  <c r="Y945" i="1"/>
  <c r="Z945" i="1" s="1"/>
  <c r="S946" i="1"/>
  <c r="T946" i="1"/>
  <c r="U946" i="1"/>
  <c r="V946" i="1"/>
  <c r="W946" i="1"/>
  <c r="S945" i="1"/>
  <c r="T945" i="1"/>
  <c r="U945" i="1"/>
  <c r="V945" i="1"/>
  <c r="W945" i="1"/>
  <c r="S944" i="1"/>
  <c r="T944" i="1"/>
  <c r="U944" i="1"/>
  <c r="V944" i="1"/>
  <c r="W944" i="1"/>
  <c r="AB36" i="1"/>
  <c r="AC36" i="1" s="1"/>
  <c r="Y36" i="1"/>
  <c r="Z36" i="1" s="1"/>
  <c r="S36" i="1"/>
  <c r="T36" i="1"/>
  <c r="U36" i="1"/>
  <c r="V36" i="1"/>
  <c r="W36" i="1"/>
  <c r="AB943" i="1"/>
  <c r="AC943" i="1" s="1"/>
  <c r="Y943" i="1"/>
  <c r="Z943" i="1" s="1"/>
  <c r="S943" i="1"/>
  <c r="T943" i="1"/>
  <c r="U943" i="1"/>
  <c r="V943" i="1"/>
  <c r="W943" i="1"/>
  <c r="AB942" i="1"/>
  <c r="AC942" i="1" s="1"/>
  <c r="Y942" i="1"/>
  <c r="Z942" i="1" s="1"/>
  <c r="S942" i="1"/>
  <c r="T942" i="1"/>
  <c r="U942" i="1"/>
  <c r="V942" i="1"/>
  <c r="W942" i="1"/>
  <c r="AB941" i="1"/>
  <c r="AC941" i="1" s="1"/>
  <c r="Y941" i="1"/>
  <c r="Z941" i="1" s="1"/>
  <c r="S941" i="1"/>
  <c r="T941" i="1"/>
  <c r="U941" i="1"/>
  <c r="V941" i="1"/>
  <c r="W941" i="1"/>
  <c r="AB940" i="1"/>
  <c r="AC940" i="1" s="1"/>
  <c r="Y940" i="1"/>
  <c r="Z940" i="1" s="1"/>
  <c r="AB939" i="1"/>
  <c r="AC939" i="1" s="1"/>
  <c r="Y939" i="1"/>
  <c r="Z939" i="1" s="1"/>
  <c r="S939" i="1"/>
  <c r="S940" i="1"/>
  <c r="T939" i="1"/>
  <c r="T940" i="1"/>
  <c r="U939" i="1"/>
  <c r="U940" i="1"/>
  <c r="V939" i="1"/>
  <c r="V940" i="1"/>
  <c r="W939" i="1"/>
  <c r="W940" i="1"/>
  <c r="AB938" i="1"/>
  <c r="AC938" i="1" s="1"/>
  <c r="Y938" i="1"/>
  <c r="Z938" i="1" s="1"/>
  <c r="S938" i="1"/>
  <c r="T938" i="1"/>
  <c r="U938" i="1"/>
  <c r="V938" i="1"/>
  <c r="W938" i="1"/>
  <c r="T857" i="1"/>
  <c r="T856" i="1"/>
  <c r="T846" i="1"/>
  <c r="T845" i="1"/>
  <c r="T820" i="1"/>
  <c r="T819" i="1"/>
  <c r="T795" i="1"/>
  <c r="T751" i="1"/>
  <c r="T27" i="1"/>
  <c r="T747" i="1"/>
  <c r="T693" i="1"/>
  <c r="T689" i="1"/>
  <c r="T688" i="1"/>
  <c r="T682" i="1"/>
  <c r="T675" i="1"/>
  <c r="T664" i="1"/>
  <c r="T650" i="1"/>
  <c r="T620" i="1"/>
  <c r="T619" i="1"/>
  <c r="T618" i="1"/>
  <c r="T617" i="1"/>
  <c r="T616" i="1"/>
  <c r="T615" i="1"/>
  <c r="T611" i="1"/>
  <c r="T587" i="1"/>
  <c r="T581" i="1"/>
  <c r="T580" i="1"/>
  <c r="T579" i="1"/>
  <c r="T578" i="1"/>
  <c r="T577" i="1"/>
  <c r="T576" i="1"/>
  <c r="T575" i="1"/>
  <c r="T574" i="1"/>
  <c r="T573" i="1"/>
  <c r="T572" i="1"/>
  <c r="T571" i="1"/>
  <c r="T570" i="1"/>
  <c r="T569" i="1"/>
  <c r="T20" i="1"/>
  <c r="T526"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2"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13" i="1"/>
  <c r="T236" i="1"/>
  <c r="T14"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15" i="1"/>
  <c r="T285" i="1"/>
  <c r="T286" i="1"/>
  <c r="T16" i="1"/>
  <c r="T287" i="1"/>
  <c r="T289" i="1"/>
  <c r="T290" i="1"/>
  <c r="T291" i="1"/>
  <c r="T17"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18"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19"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82" i="1"/>
  <c r="T583" i="1"/>
  <c r="T584" i="1"/>
  <c r="T585" i="1"/>
  <c r="T586" i="1"/>
  <c r="T588" i="1"/>
  <c r="T589" i="1"/>
  <c r="T590" i="1"/>
  <c r="T591" i="1"/>
  <c r="T592" i="1"/>
  <c r="T593" i="1"/>
  <c r="T594" i="1"/>
  <c r="T595" i="1"/>
  <c r="T596" i="1"/>
  <c r="T597" i="1"/>
  <c r="T598" i="1"/>
  <c r="T599" i="1"/>
  <c r="T600" i="1"/>
  <c r="T601" i="1"/>
  <c r="T602" i="1"/>
  <c r="T603" i="1"/>
  <c r="T604" i="1"/>
  <c r="T605" i="1"/>
  <c r="T606" i="1"/>
  <c r="T607" i="1"/>
  <c r="T608" i="1"/>
  <c r="T609" i="1"/>
  <c r="T610" i="1"/>
  <c r="T612" i="1"/>
  <c r="T613" i="1"/>
  <c r="T614" i="1"/>
  <c r="T621" i="1"/>
  <c r="T622" i="1"/>
  <c r="T623" i="1"/>
  <c r="T624" i="1"/>
  <c r="T625" i="1"/>
  <c r="T626" i="1"/>
  <c r="T627" i="1"/>
  <c r="T628" i="1"/>
  <c r="T629" i="1"/>
  <c r="T630" i="1"/>
  <c r="T631" i="1"/>
  <c r="T632" i="1"/>
  <c r="T633" i="1"/>
  <c r="T634" i="1"/>
  <c r="T635" i="1"/>
  <c r="T636" i="1"/>
  <c r="T637" i="1"/>
  <c r="T638" i="1"/>
  <c r="T639" i="1"/>
  <c r="T640" i="1"/>
  <c r="T641" i="1"/>
  <c r="T642" i="1"/>
  <c r="T21" i="1"/>
  <c r="T643" i="1"/>
  <c r="T644" i="1"/>
  <c r="T645" i="1"/>
  <c r="T646" i="1"/>
  <c r="T647" i="1"/>
  <c r="T648" i="1"/>
  <c r="T649" i="1"/>
  <c r="T651" i="1"/>
  <c r="T652" i="1"/>
  <c r="T653" i="1"/>
  <c r="T654" i="1"/>
  <c r="T655" i="1"/>
  <c r="T656" i="1"/>
  <c r="T657" i="1"/>
  <c r="T658" i="1"/>
  <c r="T659" i="1"/>
  <c r="T660" i="1"/>
  <c r="T661" i="1"/>
  <c r="T662" i="1"/>
  <c r="T663" i="1"/>
  <c r="AI663" i="1" s="1"/>
  <c r="T665" i="1"/>
  <c r="T22" i="1"/>
  <c r="T666" i="1"/>
  <c r="T667" i="1"/>
  <c r="T668" i="1"/>
  <c r="T669" i="1"/>
  <c r="T670" i="1"/>
  <c r="T671" i="1"/>
  <c r="T672" i="1"/>
  <c r="T673" i="1"/>
  <c r="T674" i="1"/>
  <c r="T676" i="1"/>
  <c r="T677" i="1"/>
  <c r="T678" i="1"/>
  <c r="T679" i="1"/>
  <c r="T680" i="1"/>
  <c r="T681" i="1"/>
  <c r="T683" i="1"/>
  <c r="T684" i="1"/>
  <c r="T23" i="1"/>
  <c r="T685" i="1"/>
  <c r="T686" i="1"/>
  <c r="T687" i="1"/>
  <c r="T690" i="1"/>
  <c r="T691" i="1"/>
  <c r="T692" i="1"/>
  <c r="T694" i="1"/>
  <c r="T695" i="1"/>
  <c r="T696" i="1"/>
  <c r="T697" i="1"/>
  <c r="T698" i="1"/>
  <c r="T699" i="1"/>
  <c r="T24" i="1"/>
  <c r="T700" i="1"/>
  <c r="T25" i="1"/>
  <c r="T701" i="1"/>
  <c r="T702" i="1"/>
  <c r="T703" i="1"/>
  <c r="T704" i="1"/>
  <c r="T26"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8" i="1"/>
  <c r="T749" i="1"/>
  <c r="T750" i="1"/>
  <c r="T752" i="1"/>
  <c r="T753" i="1"/>
  <c r="T754" i="1"/>
  <c r="T755" i="1"/>
  <c r="T756" i="1"/>
  <c r="T757" i="1"/>
  <c r="T758" i="1"/>
  <c r="T759" i="1"/>
  <c r="T28"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6" i="1"/>
  <c r="T797" i="1"/>
  <c r="T798" i="1"/>
  <c r="T799" i="1"/>
  <c r="T800" i="1"/>
  <c r="T801" i="1"/>
  <c r="T802" i="1"/>
  <c r="T803" i="1"/>
  <c r="T804" i="1"/>
  <c r="T805" i="1"/>
  <c r="T806" i="1"/>
  <c r="T807" i="1"/>
  <c r="T808" i="1"/>
  <c r="T809" i="1"/>
  <c r="T810" i="1"/>
  <c r="T811" i="1"/>
  <c r="T812" i="1"/>
  <c r="T813" i="1"/>
  <c r="T814" i="1"/>
  <c r="T815" i="1"/>
  <c r="T816" i="1"/>
  <c r="T817" i="1"/>
  <c r="T818" i="1"/>
  <c r="T821" i="1"/>
  <c r="T29" i="1"/>
  <c r="T30" i="1"/>
  <c r="T822" i="1"/>
  <c r="T823" i="1"/>
  <c r="T824" i="1"/>
  <c r="T825" i="1"/>
  <c r="T826" i="1"/>
  <c r="T827" i="1"/>
  <c r="T828" i="1"/>
  <c r="T829" i="1"/>
  <c r="T830" i="1"/>
  <c r="T831" i="1"/>
  <c r="T832" i="1"/>
  <c r="T833" i="1"/>
  <c r="T834" i="1"/>
  <c r="T835" i="1"/>
  <c r="T836" i="1"/>
  <c r="T837" i="1"/>
  <c r="T31" i="1"/>
  <c r="T838" i="1"/>
  <c r="T839" i="1"/>
  <c r="T840" i="1"/>
  <c r="T841" i="1"/>
  <c r="T842" i="1"/>
  <c r="T32" i="1"/>
  <c r="T843" i="1"/>
  <c r="T844" i="1"/>
  <c r="T847" i="1"/>
  <c r="T848" i="1"/>
  <c r="T849" i="1"/>
  <c r="T850" i="1"/>
  <c r="T851" i="1"/>
  <c r="T852" i="1"/>
  <c r="T853" i="1"/>
  <c r="T854" i="1"/>
  <c r="T855"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33" i="1"/>
  <c r="T919" i="1"/>
  <c r="T34" i="1"/>
  <c r="T35" i="1"/>
  <c r="T920" i="1"/>
  <c r="T921" i="1"/>
  <c r="T922" i="1"/>
  <c r="T923" i="1"/>
  <c r="T924" i="1"/>
  <c r="T925" i="1"/>
  <c r="T926" i="1"/>
  <c r="T927" i="1"/>
  <c r="T928" i="1"/>
  <c r="T929" i="1"/>
  <c r="T930" i="1"/>
  <c r="T931" i="1"/>
  <c r="T932" i="1"/>
  <c r="T933" i="1"/>
  <c r="T934" i="1"/>
  <c r="T935" i="1"/>
  <c r="T936" i="1"/>
  <c r="T937" i="1"/>
  <c r="AB937" i="1"/>
  <c r="AC937" i="1" s="1"/>
  <c r="AB936" i="1"/>
  <c r="AC936" i="1" s="1"/>
  <c r="AB935" i="1"/>
  <c r="AC935" i="1" s="1"/>
  <c r="AB934" i="1"/>
  <c r="AC934" i="1" s="1"/>
  <c r="AB933" i="1"/>
  <c r="AC933" i="1" s="1"/>
  <c r="AB932" i="1"/>
  <c r="AC932" i="1" s="1"/>
  <c r="AB931" i="1"/>
  <c r="AC931" i="1" s="1"/>
  <c r="AB930" i="1"/>
  <c r="AC930" i="1" s="1"/>
  <c r="AB929" i="1"/>
  <c r="AC929" i="1" s="1"/>
  <c r="AB928" i="1"/>
  <c r="AC928" i="1" s="1"/>
  <c r="AB927" i="1"/>
  <c r="AC927" i="1" s="1"/>
  <c r="AB926" i="1"/>
  <c r="AC926" i="1" s="1"/>
  <c r="AB925" i="1"/>
  <c r="AC925" i="1" s="1"/>
  <c r="AB924" i="1"/>
  <c r="AC924" i="1" s="1"/>
  <c r="AB923" i="1"/>
  <c r="AC923" i="1" s="1"/>
  <c r="AB922" i="1"/>
  <c r="AC922" i="1" s="1"/>
  <c r="AB921" i="1"/>
  <c r="AC921" i="1" s="1"/>
  <c r="AB920" i="1"/>
  <c r="AC920" i="1" s="1"/>
  <c r="Y937" i="1"/>
  <c r="Z937" i="1" s="1"/>
  <c r="Y936" i="1"/>
  <c r="Z936" i="1" s="1"/>
  <c r="Y935" i="1"/>
  <c r="Z935" i="1" s="1"/>
  <c r="Y934" i="1"/>
  <c r="Z934" i="1" s="1"/>
  <c r="Y933" i="1"/>
  <c r="Z933" i="1" s="1"/>
  <c r="Y932" i="1"/>
  <c r="Z932" i="1" s="1"/>
  <c r="Y931" i="1"/>
  <c r="Z931" i="1" s="1"/>
  <c r="Y930" i="1"/>
  <c r="Z930" i="1" s="1"/>
  <c r="Y929" i="1"/>
  <c r="Z929" i="1" s="1"/>
  <c r="Y928" i="1"/>
  <c r="Z928" i="1" s="1"/>
  <c r="Y927" i="1"/>
  <c r="Z927" i="1" s="1"/>
  <c r="Y926" i="1"/>
  <c r="Z926" i="1" s="1"/>
  <c r="Y925" i="1"/>
  <c r="Z925" i="1" s="1"/>
  <c r="Y924" i="1"/>
  <c r="Z924" i="1" s="1"/>
  <c r="Y923" i="1"/>
  <c r="Z923" i="1" s="1"/>
  <c r="Y922" i="1"/>
  <c r="Z922" i="1" s="1"/>
  <c r="Y921" i="1"/>
  <c r="Z921" i="1" s="1"/>
  <c r="Y920" i="1"/>
  <c r="Z920" i="1" s="1"/>
  <c r="S920" i="1"/>
  <c r="S921" i="1"/>
  <c r="S922" i="1"/>
  <c r="S923" i="1"/>
  <c r="S924" i="1"/>
  <c r="S925" i="1"/>
  <c r="S926" i="1"/>
  <c r="S927" i="1"/>
  <c r="S928" i="1"/>
  <c r="S929" i="1"/>
  <c r="S930" i="1"/>
  <c r="S931" i="1"/>
  <c r="S932" i="1"/>
  <c r="S933" i="1"/>
  <c r="S934" i="1"/>
  <c r="S935" i="1"/>
  <c r="S936" i="1"/>
  <c r="S937" i="1"/>
  <c r="U920" i="1"/>
  <c r="U921" i="1"/>
  <c r="U922" i="1"/>
  <c r="U923" i="1"/>
  <c r="U924" i="1"/>
  <c r="U925" i="1"/>
  <c r="U926" i="1"/>
  <c r="U927" i="1"/>
  <c r="U928" i="1"/>
  <c r="U929" i="1"/>
  <c r="U930" i="1"/>
  <c r="U931" i="1"/>
  <c r="U932" i="1"/>
  <c r="U933" i="1"/>
  <c r="U934" i="1"/>
  <c r="U935" i="1"/>
  <c r="U936" i="1"/>
  <c r="U937" i="1"/>
  <c r="V920" i="1"/>
  <c r="V921" i="1"/>
  <c r="V922" i="1"/>
  <c r="V923" i="1"/>
  <c r="V924" i="1"/>
  <c r="V925" i="1"/>
  <c r="V926" i="1"/>
  <c r="V927" i="1"/>
  <c r="V928" i="1"/>
  <c r="V929" i="1"/>
  <c r="V930" i="1"/>
  <c r="V931" i="1"/>
  <c r="V932" i="1"/>
  <c r="V933" i="1"/>
  <c r="V934" i="1"/>
  <c r="V935" i="1"/>
  <c r="V936" i="1"/>
  <c r="V937" i="1"/>
  <c r="W920" i="1"/>
  <c r="W921" i="1"/>
  <c r="W922" i="1"/>
  <c r="W923" i="1"/>
  <c r="W924" i="1"/>
  <c r="W925" i="1"/>
  <c r="W926" i="1"/>
  <c r="W927" i="1"/>
  <c r="W928" i="1"/>
  <c r="W929" i="1"/>
  <c r="W930" i="1"/>
  <c r="W931" i="1"/>
  <c r="W932" i="1"/>
  <c r="W933" i="1"/>
  <c r="W934" i="1"/>
  <c r="W935" i="1"/>
  <c r="W936" i="1"/>
  <c r="W937" i="1"/>
  <c r="AB35" i="1"/>
  <c r="AC35" i="1" s="1"/>
  <c r="Y35" i="1"/>
  <c r="Z35" i="1" s="1"/>
  <c r="S35" i="1"/>
  <c r="U35" i="1"/>
  <c r="V35" i="1"/>
  <c r="W35" i="1"/>
  <c r="AB34" i="1"/>
  <c r="AC34" i="1" s="1"/>
  <c r="AB919" i="1"/>
  <c r="AC919" i="1" s="1"/>
  <c r="AB33" i="1"/>
  <c r="AC33" i="1" s="1"/>
  <c r="AB918" i="1"/>
  <c r="AC918" i="1" s="1"/>
  <c r="AB917" i="1"/>
  <c r="AC917" i="1" s="1"/>
  <c r="AB916" i="1"/>
  <c r="AC916" i="1" s="1"/>
  <c r="AB915" i="1"/>
  <c r="AC915" i="1" s="1"/>
  <c r="Y34" i="1"/>
  <c r="Z34" i="1" s="1"/>
  <c r="Y919" i="1"/>
  <c r="Z919" i="1" s="1"/>
  <c r="Y33" i="1"/>
  <c r="Z33" i="1" s="1"/>
  <c r="Y918" i="1"/>
  <c r="Z918" i="1" s="1"/>
  <c r="Y917" i="1"/>
  <c r="Z917" i="1" s="1"/>
  <c r="Y916" i="1"/>
  <c r="Z916" i="1" s="1"/>
  <c r="Y915" i="1"/>
  <c r="Z915" i="1" s="1"/>
  <c r="S915" i="1"/>
  <c r="S916" i="1"/>
  <c r="S917" i="1"/>
  <c r="S918" i="1"/>
  <c r="S33" i="1"/>
  <c r="S919" i="1"/>
  <c r="S34" i="1"/>
  <c r="U915" i="1"/>
  <c r="U916" i="1"/>
  <c r="U917" i="1"/>
  <c r="U918" i="1"/>
  <c r="U33" i="1"/>
  <c r="U919" i="1"/>
  <c r="U34" i="1"/>
  <c r="V915" i="1"/>
  <c r="V916" i="1"/>
  <c r="V917" i="1"/>
  <c r="V918" i="1"/>
  <c r="V33" i="1"/>
  <c r="V919" i="1"/>
  <c r="V34" i="1"/>
  <c r="W915" i="1"/>
  <c r="W916" i="1"/>
  <c r="W917" i="1"/>
  <c r="W918" i="1"/>
  <c r="W33" i="1"/>
  <c r="W919" i="1"/>
  <c r="W34" i="1"/>
  <c r="AB914" i="1"/>
  <c r="AC914" i="1" s="1"/>
  <c r="AB913" i="1"/>
  <c r="AC913" i="1" s="1"/>
  <c r="AB912" i="1"/>
  <c r="AC912" i="1" s="1"/>
  <c r="AB911" i="1"/>
  <c r="AC911" i="1" s="1"/>
  <c r="AB910" i="1"/>
  <c r="AC910" i="1" s="1"/>
  <c r="AB909" i="1"/>
  <c r="AC909" i="1" s="1"/>
  <c r="AB908" i="1"/>
  <c r="AC908" i="1" s="1"/>
  <c r="Y914" i="1"/>
  <c r="Z914" i="1" s="1"/>
  <c r="Y913" i="1"/>
  <c r="Z913" i="1" s="1"/>
  <c r="Y912" i="1"/>
  <c r="Z912" i="1" s="1"/>
  <c r="Y911" i="1"/>
  <c r="Z911" i="1" s="1"/>
  <c r="Y910" i="1"/>
  <c r="Z910" i="1" s="1"/>
  <c r="Y909" i="1"/>
  <c r="Z909" i="1" s="1"/>
  <c r="Y908" i="1"/>
  <c r="Z908" i="1" s="1"/>
  <c r="S908" i="1"/>
  <c r="S909" i="1"/>
  <c r="S910" i="1"/>
  <c r="S911" i="1"/>
  <c r="S912" i="1"/>
  <c r="S913" i="1"/>
  <c r="S914" i="1"/>
  <c r="U908" i="1"/>
  <c r="U909" i="1"/>
  <c r="U910" i="1"/>
  <c r="U911" i="1"/>
  <c r="U912" i="1"/>
  <c r="U913" i="1"/>
  <c r="U914" i="1"/>
  <c r="V908" i="1"/>
  <c r="V909" i="1"/>
  <c r="V910" i="1"/>
  <c r="V911" i="1"/>
  <c r="V912" i="1"/>
  <c r="V913" i="1"/>
  <c r="V914" i="1"/>
  <c r="W908" i="1"/>
  <c r="W909" i="1"/>
  <c r="W910" i="1"/>
  <c r="W911" i="1"/>
  <c r="W912" i="1"/>
  <c r="W913" i="1"/>
  <c r="W914" i="1"/>
  <c r="AB907" i="1"/>
  <c r="AC907" i="1" s="1"/>
  <c r="AB906" i="1"/>
  <c r="AC906" i="1" s="1"/>
  <c r="Y907" i="1"/>
  <c r="Z907" i="1" s="1"/>
  <c r="Y906" i="1"/>
  <c r="Z906" i="1" s="1"/>
  <c r="S906" i="1"/>
  <c r="S907" i="1"/>
  <c r="U906" i="1"/>
  <c r="U907" i="1"/>
  <c r="V906" i="1"/>
  <c r="V907" i="1"/>
  <c r="W906" i="1"/>
  <c r="W907" i="1"/>
  <c r="AB905" i="1"/>
  <c r="AC905" i="1" s="1"/>
  <c r="Y905" i="1"/>
  <c r="Z905" i="1" s="1"/>
  <c r="S905" i="1"/>
  <c r="U905" i="1"/>
  <c r="V905" i="1"/>
  <c r="W905" i="1"/>
  <c r="AB904" i="1"/>
  <c r="AC904" i="1" s="1"/>
  <c r="AB903" i="1"/>
  <c r="AC903" i="1" s="1"/>
  <c r="AB902" i="1"/>
  <c r="AC902" i="1" s="1"/>
  <c r="Y904" i="1"/>
  <c r="Z904" i="1" s="1"/>
  <c r="Y903" i="1"/>
  <c r="Z903" i="1" s="1"/>
  <c r="Y902" i="1"/>
  <c r="Z902" i="1" s="1"/>
  <c r="S903" i="1"/>
  <c r="S904" i="1"/>
  <c r="U903" i="1"/>
  <c r="U904" i="1"/>
  <c r="V903" i="1"/>
  <c r="V904" i="1"/>
  <c r="W903" i="1"/>
  <c r="W904" i="1"/>
  <c r="S902" i="1"/>
  <c r="U902" i="1"/>
  <c r="V902" i="1"/>
  <c r="W902" i="1"/>
  <c r="AB901" i="1"/>
  <c r="AC901" i="1" s="1"/>
  <c r="AB900" i="1"/>
  <c r="AC900" i="1" s="1"/>
  <c r="AB899" i="1"/>
  <c r="AC899" i="1" s="1"/>
  <c r="AB898" i="1"/>
  <c r="AC898" i="1" s="1"/>
  <c r="AB897" i="1"/>
  <c r="AC897" i="1" s="1"/>
  <c r="AB896" i="1"/>
  <c r="AC896" i="1" s="1"/>
  <c r="AB895" i="1"/>
  <c r="AC895" i="1" s="1"/>
  <c r="AB894" i="1"/>
  <c r="AC894" i="1" s="1"/>
  <c r="Y901" i="1"/>
  <c r="Z901" i="1" s="1"/>
  <c r="Y900" i="1"/>
  <c r="Z900" i="1" s="1"/>
  <c r="Y899" i="1"/>
  <c r="Z899" i="1" s="1"/>
  <c r="Y898" i="1"/>
  <c r="Z898" i="1" s="1"/>
  <c r="Y897" i="1"/>
  <c r="Z897" i="1" s="1"/>
  <c r="Y896" i="1"/>
  <c r="Z896" i="1" s="1"/>
  <c r="Y895" i="1"/>
  <c r="Z895" i="1" s="1"/>
  <c r="Y894" i="1"/>
  <c r="Z894" i="1" s="1"/>
  <c r="S894" i="1"/>
  <c r="S895" i="1"/>
  <c r="S896" i="1"/>
  <c r="S897" i="1"/>
  <c r="S898" i="1"/>
  <c r="S899" i="1"/>
  <c r="S900" i="1"/>
  <c r="S901" i="1"/>
  <c r="U894" i="1"/>
  <c r="U895" i="1"/>
  <c r="U896" i="1"/>
  <c r="U897" i="1"/>
  <c r="U898" i="1"/>
  <c r="U899" i="1"/>
  <c r="U900" i="1"/>
  <c r="U901" i="1"/>
  <c r="V894" i="1"/>
  <c r="V895" i="1"/>
  <c r="V896" i="1"/>
  <c r="V897" i="1"/>
  <c r="V898" i="1"/>
  <c r="V899" i="1"/>
  <c r="V900" i="1"/>
  <c r="V901" i="1"/>
  <c r="W894" i="1"/>
  <c r="W895" i="1"/>
  <c r="W896" i="1"/>
  <c r="W897" i="1"/>
  <c r="W898" i="1"/>
  <c r="W899" i="1"/>
  <c r="W900" i="1"/>
  <c r="W901" i="1"/>
  <c r="AB893" i="1"/>
  <c r="AC893" i="1" s="1"/>
  <c r="Y893" i="1"/>
  <c r="Z893" i="1" s="1"/>
  <c r="S893" i="1"/>
  <c r="U893" i="1"/>
  <c r="V893" i="1"/>
  <c r="W893" i="1"/>
  <c r="J650" i="1"/>
  <c r="AB892" i="1"/>
  <c r="AB891" i="1"/>
  <c r="AB890" i="1"/>
  <c r="AB889" i="1"/>
  <c r="AB888" i="1"/>
  <c r="AB887" i="1"/>
  <c r="AB886" i="1"/>
  <c r="AB885" i="1"/>
  <c r="AB884" i="1"/>
  <c r="AB883" i="1"/>
  <c r="AB882" i="1"/>
  <c r="AB881" i="1"/>
  <c r="AB880" i="1"/>
  <c r="AB879" i="1"/>
  <c r="AB878" i="1"/>
  <c r="AB877" i="1"/>
  <c r="AB876" i="1"/>
  <c r="AB875" i="1"/>
  <c r="AB874" i="1"/>
  <c r="AB873" i="1"/>
  <c r="AB872" i="1"/>
  <c r="AB871" i="1"/>
  <c r="AB870" i="1"/>
  <c r="AB869" i="1"/>
  <c r="AB868" i="1"/>
  <c r="AB867" i="1"/>
  <c r="AB866" i="1"/>
  <c r="AB865" i="1"/>
  <c r="AB864" i="1"/>
  <c r="AB863" i="1"/>
  <c r="AB862" i="1"/>
  <c r="AB861" i="1"/>
  <c r="AB860" i="1"/>
  <c r="AB859" i="1"/>
  <c r="AB858" i="1"/>
  <c r="Y892" i="1"/>
  <c r="Y891" i="1"/>
  <c r="Y890" i="1"/>
  <c r="Y889" i="1"/>
  <c r="Y888" i="1"/>
  <c r="Y887" i="1"/>
  <c r="Y886" i="1"/>
  <c r="Y885" i="1"/>
  <c r="Y884" i="1"/>
  <c r="Y883" i="1"/>
  <c r="Y882" i="1"/>
  <c r="Y881" i="1"/>
  <c r="Y880" i="1"/>
  <c r="Y879" i="1"/>
  <c r="Y878" i="1"/>
  <c r="Y877" i="1"/>
  <c r="Y876" i="1"/>
  <c r="Y875" i="1"/>
  <c r="Y874" i="1"/>
  <c r="Y873" i="1"/>
  <c r="Y872" i="1"/>
  <c r="Y871" i="1"/>
  <c r="Y870" i="1"/>
  <c r="Y869" i="1"/>
  <c r="Y868" i="1"/>
  <c r="Y867" i="1"/>
  <c r="Y866" i="1"/>
  <c r="Y865" i="1"/>
  <c r="Y864" i="1"/>
  <c r="Y863" i="1"/>
  <c r="Y862" i="1"/>
  <c r="Y861" i="1"/>
  <c r="Y860" i="1"/>
  <c r="Y859" i="1"/>
  <c r="Y858"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U858" i="1"/>
  <c r="U859" i="1"/>
  <c r="U860" i="1"/>
  <c r="U861" i="1"/>
  <c r="U862" i="1"/>
  <c r="U863" i="1"/>
  <c r="U864" i="1"/>
  <c r="U865" i="1"/>
  <c r="U866" i="1"/>
  <c r="U867" i="1"/>
  <c r="U868" i="1"/>
  <c r="U869" i="1"/>
  <c r="U870" i="1"/>
  <c r="U871" i="1"/>
  <c r="U872" i="1"/>
  <c r="U873" i="1"/>
  <c r="U874" i="1"/>
  <c r="U875" i="1"/>
  <c r="U876" i="1"/>
  <c r="U877" i="1"/>
  <c r="U878" i="1"/>
  <c r="U879" i="1"/>
  <c r="U880" i="1"/>
  <c r="U881" i="1"/>
  <c r="U882" i="1"/>
  <c r="U883" i="1"/>
  <c r="U884" i="1"/>
  <c r="U885" i="1"/>
  <c r="U886" i="1"/>
  <c r="U887" i="1"/>
  <c r="U888" i="1"/>
  <c r="U889" i="1"/>
  <c r="U890" i="1"/>
  <c r="U891" i="1"/>
  <c r="U892"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W858" i="1"/>
  <c r="W859" i="1"/>
  <c r="W860" i="1"/>
  <c r="W861" i="1"/>
  <c r="W862" i="1"/>
  <c r="W863" i="1"/>
  <c r="W864" i="1"/>
  <c r="W865" i="1"/>
  <c r="W866"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AB857" i="1"/>
  <c r="AC857" i="1" s="1"/>
  <c r="AB856" i="1"/>
  <c r="AB855" i="1"/>
  <c r="AC855" i="1" s="1"/>
  <c r="Y857" i="1"/>
  <c r="Z857" i="1" s="1"/>
  <c r="Y856" i="1"/>
  <c r="Z856" i="1" s="1"/>
  <c r="Y855" i="1"/>
  <c r="S855" i="1"/>
  <c r="S856" i="1"/>
  <c r="S857" i="1"/>
  <c r="U855" i="1"/>
  <c r="U856" i="1"/>
  <c r="U857" i="1"/>
  <c r="V855" i="1"/>
  <c r="V856" i="1"/>
  <c r="V857" i="1"/>
  <c r="W855" i="1"/>
  <c r="W856" i="1"/>
  <c r="W857" i="1"/>
  <c r="AB854" i="1"/>
  <c r="AB853" i="1"/>
  <c r="AC853" i="1" s="1"/>
  <c r="AB852" i="1"/>
  <c r="AC852" i="1" s="1"/>
  <c r="AB851" i="1"/>
  <c r="AB850" i="1"/>
  <c r="AB849" i="1"/>
  <c r="AC849" i="1" s="1"/>
  <c r="AB848" i="1"/>
  <c r="AC848" i="1" s="1"/>
  <c r="AB847" i="1"/>
  <c r="Y854" i="1"/>
  <c r="Y853" i="1"/>
  <c r="Z853" i="1" s="1"/>
  <c r="Y852" i="1"/>
  <c r="Z852" i="1" s="1"/>
  <c r="Y851" i="1"/>
  <c r="Y850" i="1"/>
  <c r="Z850" i="1" s="1"/>
  <c r="Y849" i="1"/>
  <c r="Z849" i="1" s="1"/>
  <c r="Y848" i="1"/>
  <c r="Y847" i="1"/>
  <c r="S847" i="1"/>
  <c r="S848" i="1"/>
  <c r="S849" i="1"/>
  <c r="S850" i="1"/>
  <c r="S851" i="1"/>
  <c r="S852" i="1"/>
  <c r="S853" i="1"/>
  <c r="S854" i="1"/>
  <c r="U847" i="1"/>
  <c r="U848" i="1"/>
  <c r="U849" i="1"/>
  <c r="U850" i="1"/>
  <c r="U851" i="1"/>
  <c r="U852" i="1"/>
  <c r="U853" i="1"/>
  <c r="U854" i="1"/>
  <c r="V847" i="1"/>
  <c r="V848" i="1"/>
  <c r="V849" i="1"/>
  <c r="V850" i="1"/>
  <c r="V851" i="1"/>
  <c r="V852" i="1"/>
  <c r="V853" i="1"/>
  <c r="V854" i="1"/>
  <c r="W847" i="1"/>
  <c r="W848" i="1"/>
  <c r="W849" i="1"/>
  <c r="W850" i="1"/>
  <c r="W851" i="1"/>
  <c r="W852" i="1"/>
  <c r="W853" i="1"/>
  <c r="W854" i="1"/>
  <c r="AB844" i="1"/>
  <c r="AB843" i="1"/>
  <c r="Y844" i="1"/>
  <c r="Y843" i="1"/>
  <c r="AB846" i="1"/>
  <c r="AB845" i="1"/>
  <c r="Y846" i="1"/>
  <c r="Y845" i="1"/>
  <c r="AB32" i="1"/>
  <c r="Y32" i="1"/>
  <c r="S32" i="1"/>
  <c r="S843" i="1"/>
  <c r="S844" i="1"/>
  <c r="S845" i="1"/>
  <c r="S846" i="1"/>
  <c r="U32" i="1"/>
  <c r="U843" i="1"/>
  <c r="U844" i="1"/>
  <c r="U845" i="1"/>
  <c r="U846" i="1"/>
  <c r="V32" i="1"/>
  <c r="V843" i="1"/>
  <c r="V844" i="1"/>
  <c r="V845" i="1"/>
  <c r="V846" i="1"/>
  <c r="W32" i="1"/>
  <c r="W843" i="1"/>
  <c r="W844" i="1"/>
  <c r="W845" i="1"/>
  <c r="W846" i="1"/>
  <c r="AB842" i="1"/>
  <c r="AB841" i="1"/>
  <c r="Y842" i="1"/>
  <c r="Y841" i="1"/>
  <c r="S841" i="1"/>
  <c r="S842" i="1"/>
  <c r="U841" i="1"/>
  <c r="U842" i="1"/>
  <c r="V841" i="1"/>
  <c r="V842" i="1"/>
  <c r="W841" i="1"/>
  <c r="W842" i="1"/>
  <c r="J655" i="1"/>
  <c r="J645" i="1"/>
  <c r="J654" i="1"/>
  <c r="J423" i="1"/>
  <c r="AB840" i="1"/>
  <c r="AB839" i="1"/>
  <c r="AB838" i="1"/>
  <c r="Y840" i="1"/>
  <c r="Y839" i="1"/>
  <c r="Y838" i="1"/>
  <c r="S838" i="1"/>
  <c r="S839" i="1"/>
  <c r="S840" i="1"/>
  <c r="U838" i="1"/>
  <c r="U839" i="1"/>
  <c r="U840" i="1"/>
  <c r="V838" i="1"/>
  <c r="V839" i="1"/>
  <c r="V840" i="1"/>
  <c r="W838" i="1"/>
  <c r="W839" i="1"/>
  <c r="W840" i="1"/>
  <c r="AB826" i="1"/>
  <c r="Y826" i="1"/>
  <c r="AB31" i="1"/>
  <c r="AB837" i="1"/>
  <c r="Y31" i="1"/>
  <c r="Y837" i="1"/>
  <c r="S31" i="1"/>
  <c r="U31" i="1"/>
  <c r="V31" i="1"/>
  <c r="W31" i="1"/>
  <c r="S826" i="1"/>
  <c r="U826" i="1"/>
  <c r="V826" i="1"/>
  <c r="W826" i="1"/>
  <c r="AB836" i="1"/>
  <c r="Y836" i="1"/>
  <c r="S836" i="1"/>
  <c r="S837" i="1"/>
  <c r="U836" i="1"/>
  <c r="U837" i="1"/>
  <c r="V836" i="1"/>
  <c r="V837" i="1"/>
  <c r="W836" i="1"/>
  <c r="W837" i="1"/>
  <c r="AB835" i="1"/>
  <c r="AC835" i="1" s="1"/>
  <c r="Y835" i="1"/>
  <c r="S835" i="1"/>
  <c r="U835" i="1"/>
  <c r="V835" i="1"/>
  <c r="W835" i="1"/>
  <c r="AB834" i="1"/>
  <c r="AB833" i="1"/>
  <c r="AB832" i="1"/>
  <c r="AB831" i="1"/>
  <c r="AB830" i="1"/>
  <c r="AB829" i="1"/>
  <c r="AB828" i="1"/>
  <c r="Y834" i="1"/>
  <c r="Y833" i="1"/>
  <c r="Y832" i="1"/>
  <c r="Y831" i="1"/>
  <c r="Y830" i="1"/>
  <c r="Y829" i="1"/>
  <c r="Y828" i="1"/>
  <c r="S828" i="1"/>
  <c r="S829" i="1"/>
  <c r="S830" i="1"/>
  <c r="S831" i="1"/>
  <c r="S832" i="1"/>
  <c r="S833" i="1"/>
  <c r="S834" i="1"/>
  <c r="U828" i="1"/>
  <c r="U829" i="1"/>
  <c r="U830" i="1"/>
  <c r="U831" i="1"/>
  <c r="U832" i="1"/>
  <c r="U833" i="1"/>
  <c r="U834" i="1"/>
  <c r="V828" i="1"/>
  <c r="V829" i="1"/>
  <c r="V830" i="1"/>
  <c r="V831" i="1"/>
  <c r="V832" i="1"/>
  <c r="V833" i="1"/>
  <c r="V834" i="1"/>
  <c r="W828" i="1"/>
  <c r="W829" i="1"/>
  <c r="W830" i="1"/>
  <c r="W831" i="1"/>
  <c r="W832" i="1"/>
  <c r="W833" i="1"/>
  <c r="W834" i="1"/>
  <c r="AB827" i="1"/>
  <c r="Y827" i="1"/>
  <c r="S827" i="1"/>
  <c r="U827" i="1"/>
  <c r="V827" i="1"/>
  <c r="W827" i="1"/>
  <c r="AB825" i="1"/>
  <c r="Y825" i="1"/>
  <c r="S825" i="1"/>
  <c r="U825" i="1"/>
  <c r="V825" i="1"/>
  <c r="W825" i="1"/>
  <c r="AB824" i="1"/>
  <c r="AB823" i="1"/>
  <c r="AB822" i="1"/>
  <c r="Y824" i="1"/>
  <c r="Y823" i="1"/>
  <c r="Y822" i="1"/>
  <c r="S822" i="1"/>
  <c r="S823" i="1"/>
  <c r="S824" i="1"/>
  <c r="U822" i="1"/>
  <c r="U823" i="1"/>
  <c r="U824" i="1"/>
  <c r="V822" i="1"/>
  <c r="V823" i="1"/>
  <c r="V824" i="1"/>
  <c r="W822" i="1"/>
  <c r="W823" i="1"/>
  <c r="W824" i="1"/>
  <c r="AB30" i="1"/>
  <c r="AB29" i="1"/>
  <c r="Y30" i="1"/>
  <c r="Y29" i="1"/>
  <c r="S30" i="1"/>
  <c r="U30" i="1"/>
  <c r="V30" i="1"/>
  <c r="W30" i="1"/>
  <c r="S29" i="1"/>
  <c r="U29" i="1"/>
  <c r="V29" i="1"/>
  <c r="W29" i="1"/>
  <c r="AB821" i="1"/>
  <c r="AC821" i="1" s="1"/>
  <c r="Y821" i="1"/>
  <c r="Z821" i="1" s="1"/>
  <c r="S821" i="1"/>
  <c r="U821" i="1"/>
  <c r="V821" i="1"/>
  <c r="W821" i="1"/>
  <c r="AB820" i="1"/>
  <c r="AC820" i="1" s="1"/>
  <c r="Y820" i="1"/>
  <c r="Z820" i="1" s="1"/>
  <c r="AB819" i="1"/>
  <c r="AC819" i="1" s="1"/>
  <c r="Y819" i="1"/>
  <c r="Z819" i="1" s="1"/>
  <c r="S820" i="1"/>
  <c r="U820" i="1"/>
  <c r="V820" i="1"/>
  <c r="W820" i="1"/>
  <c r="S819" i="1"/>
  <c r="U819" i="1"/>
  <c r="V819" i="1"/>
  <c r="W819" i="1"/>
  <c r="S290" i="1"/>
  <c r="U290" i="1"/>
  <c r="V290" i="1"/>
  <c r="W290" i="1"/>
  <c r="Y290" i="1"/>
  <c r="Z290" i="1" s="1"/>
  <c r="AB290" i="1"/>
  <c r="AC290" i="1" s="1"/>
  <c r="S681" i="1"/>
  <c r="U681" i="1"/>
  <c r="V681" i="1"/>
  <c r="W681" i="1"/>
  <c r="Y681" i="1"/>
  <c r="Z681" i="1" s="1"/>
  <c r="AB681" i="1"/>
  <c r="AC681" i="1" s="1"/>
  <c r="AB818" i="1"/>
  <c r="AC818" i="1" s="1"/>
  <c r="Y818" i="1"/>
  <c r="Z818" i="1" s="1"/>
  <c r="AB817" i="1"/>
  <c r="AC817" i="1" s="1"/>
  <c r="Y817" i="1"/>
  <c r="Z817" i="1" s="1"/>
  <c r="AB816" i="1"/>
  <c r="AC816" i="1" s="1"/>
  <c r="Y816" i="1"/>
  <c r="Z816" i="1" s="1"/>
  <c r="S818" i="1"/>
  <c r="U818" i="1"/>
  <c r="V818" i="1"/>
  <c r="W818" i="1"/>
  <c r="S817" i="1"/>
  <c r="U817" i="1"/>
  <c r="V817" i="1"/>
  <c r="W817" i="1"/>
  <c r="S816" i="1"/>
  <c r="U816" i="1"/>
  <c r="V816" i="1"/>
  <c r="W816" i="1"/>
  <c r="AB815" i="1"/>
  <c r="AC815" i="1" s="1"/>
  <c r="AB814" i="1"/>
  <c r="AC814" i="1" s="1"/>
  <c r="AB813" i="1"/>
  <c r="AC813" i="1" s="1"/>
  <c r="AB812" i="1"/>
  <c r="AC812" i="1" s="1"/>
  <c r="AB811" i="1"/>
  <c r="AC811" i="1" s="1"/>
  <c r="Y815" i="1"/>
  <c r="Z815" i="1" s="1"/>
  <c r="Y814" i="1"/>
  <c r="Z814" i="1" s="1"/>
  <c r="Y813" i="1"/>
  <c r="Z813" i="1" s="1"/>
  <c r="Y812" i="1"/>
  <c r="Z812" i="1" s="1"/>
  <c r="Y811" i="1"/>
  <c r="Z811" i="1" s="1"/>
  <c r="S815" i="1"/>
  <c r="U815" i="1"/>
  <c r="V815" i="1"/>
  <c r="W815" i="1"/>
  <c r="S814" i="1"/>
  <c r="U814" i="1"/>
  <c r="V814" i="1"/>
  <c r="W814" i="1"/>
  <c r="S813" i="1"/>
  <c r="U813" i="1"/>
  <c r="V813" i="1"/>
  <c r="W813" i="1"/>
  <c r="S812" i="1"/>
  <c r="U812" i="1"/>
  <c r="V812" i="1"/>
  <c r="W812" i="1"/>
  <c r="S811" i="1"/>
  <c r="U811" i="1"/>
  <c r="V811" i="1"/>
  <c r="W811" i="1"/>
  <c r="AB810" i="1"/>
  <c r="AC810" i="1" s="1"/>
  <c r="AB809" i="1"/>
  <c r="AC809" i="1" s="1"/>
  <c r="AB808" i="1"/>
  <c r="AC808" i="1" s="1"/>
  <c r="AB807" i="1"/>
  <c r="AC807" i="1" s="1"/>
  <c r="AB806" i="1"/>
  <c r="AC806" i="1" s="1"/>
  <c r="AB805" i="1"/>
  <c r="AC805" i="1" s="1"/>
  <c r="AB804" i="1"/>
  <c r="AC804" i="1" s="1"/>
  <c r="AB803" i="1"/>
  <c r="AC803" i="1" s="1"/>
  <c r="AB802" i="1"/>
  <c r="AC802" i="1" s="1"/>
  <c r="AB801" i="1"/>
  <c r="AC801" i="1" s="1"/>
  <c r="AB800" i="1"/>
  <c r="AC800" i="1" s="1"/>
  <c r="AB799" i="1"/>
  <c r="AC799" i="1" s="1"/>
  <c r="AB798" i="1"/>
  <c r="AC798" i="1" s="1"/>
  <c r="Y810" i="1"/>
  <c r="Z810" i="1" s="1"/>
  <c r="Y809" i="1"/>
  <c r="Z809" i="1" s="1"/>
  <c r="Y808" i="1"/>
  <c r="Z808" i="1" s="1"/>
  <c r="Y807" i="1"/>
  <c r="Z807" i="1" s="1"/>
  <c r="Y806" i="1"/>
  <c r="Z806" i="1" s="1"/>
  <c r="Y805" i="1"/>
  <c r="Z805" i="1" s="1"/>
  <c r="Y804" i="1"/>
  <c r="Z804" i="1" s="1"/>
  <c r="Y803" i="1"/>
  <c r="Z803" i="1" s="1"/>
  <c r="Y802" i="1"/>
  <c r="Z802" i="1" s="1"/>
  <c r="Y801" i="1"/>
  <c r="Z801" i="1" s="1"/>
  <c r="Y800" i="1"/>
  <c r="Z800" i="1" s="1"/>
  <c r="Y799" i="1"/>
  <c r="Z799" i="1" s="1"/>
  <c r="Y798" i="1"/>
  <c r="Z798" i="1" s="1"/>
  <c r="S810" i="1"/>
  <c r="U810" i="1"/>
  <c r="V810" i="1"/>
  <c r="W810" i="1"/>
  <c r="S809" i="1"/>
  <c r="U809" i="1"/>
  <c r="V809" i="1"/>
  <c r="W809" i="1"/>
  <c r="S808" i="1"/>
  <c r="U808" i="1"/>
  <c r="V808" i="1"/>
  <c r="W808" i="1"/>
  <c r="S807" i="1"/>
  <c r="U807" i="1"/>
  <c r="V807" i="1"/>
  <c r="W807" i="1"/>
  <c r="S806" i="1"/>
  <c r="U806" i="1"/>
  <c r="V806" i="1"/>
  <c r="W806" i="1"/>
  <c r="S805" i="1"/>
  <c r="U805" i="1"/>
  <c r="V805" i="1"/>
  <c r="W805" i="1"/>
  <c r="S804" i="1"/>
  <c r="U804" i="1"/>
  <c r="V804" i="1"/>
  <c r="W804" i="1"/>
  <c r="S803" i="1"/>
  <c r="U803" i="1"/>
  <c r="V803" i="1"/>
  <c r="W803" i="1"/>
  <c r="S802" i="1"/>
  <c r="U802" i="1"/>
  <c r="V802" i="1"/>
  <c r="W802" i="1"/>
  <c r="S801" i="1"/>
  <c r="U801" i="1"/>
  <c r="V801" i="1"/>
  <c r="W801" i="1"/>
  <c r="S800" i="1"/>
  <c r="U800" i="1"/>
  <c r="V800" i="1"/>
  <c r="W800" i="1"/>
  <c r="S799" i="1"/>
  <c r="U799" i="1"/>
  <c r="V799" i="1"/>
  <c r="W799" i="1"/>
  <c r="S798" i="1"/>
  <c r="U798" i="1"/>
  <c r="V798" i="1"/>
  <c r="W798" i="1"/>
  <c r="AB797" i="1"/>
  <c r="AC797" i="1" s="1"/>
  <c r="Y797" i="1"/>
  <c r="Z797" i="1" s="1"/>
  <c r="AB796" i="1"/>
  <c r="AC796" i="1" s="1"/>
  <c r="AB795" i="1"/>
  <c r="AC795" i="1" s="1"/>
  <c r="Y796" i="1"/>
  <c r="Z796" i="1" s="1"/>
  <c r="Y795" i="1"/>
  <c r="Z795" i="1" s="1"/>
  <c r="S797" i="1"/>
  <c r="U797" i="1"/>
  <c r="V797" i="1"/>
  <c r="W797" i="1"/>
  <c r="S796" i="1"/>
  <c r="U796" i="1"/>
  <c r="V796" i="1"/>
  <c r="W796" i="1"/>
  <c r="S795" i="1"/>
  <c r="U795" i="1"/>
  <c r="V795" i="1"/>
  <c r="W795" i="1"/>
  <c r="AB794" i="1"/>
  <c r="AC794" i="1" s="1"/>
  <c r="AB793" i="1"/>
  <c r="AC793" i="1" s="1"/>
  <c r="AB792" i="1"/>
  <c r="AC792" i="1" s="1"/>
  <c r="AB791" i="1"/>
  <c r="AC791" i="1" s="1"/>
  <c r="AB790" i="1"/>
  <c r="AC790" i="1" s="1"/>
  <c r="AB789" i="1"/>
  <c r="AC789" i="1" s="1"/>
  <c r="AB788" i="1"/>
  <c r="AC788" i="1" s="1"/>
  <c r="AB787" i="1"/>
  <c r="AC787" i="1" s="1"/>
  <c r="AB786" i="1"/>
  <c r="AC786" i="1" s="1"/>
  <c r="AB785" i="1"/>
  <c r="AC785" i="1" s="1"/>
  <c r="AB784" i="1"/>
  <c r="AC784" i="1" s="1"/>
  <c r="AB783" i="1"/>
  <c r="AC783" i="1" s="1"/>
  <c r="AB782" i="1"/>
  <c r="AC782" i="1" s="1"/>
  <c r="AB781" i="1"/>
  <c r="AC781" i="1" s="1"/>
  <c r="AB780" i="1"/>
  <c r="AC780" i="1" s="1"/>
  <c r="AB779" i="1"/>
  <c r="AC779" i="1" s="1"/>
  <c r="AB778" i="1"/>
  <c r="AC778" i="1" s="1"/>
  <c r="AB777" i="1"/>
  <c r="AC777" i="1" s="1"/>
  <c r="AB776" i="1"/>
  <c r="AC776" i="1" s="1"/>
  <c r="AB775" i="1"/>
  <c r="AC775" i="1" s="1"/>
  <c r="AB774" i="1"/>
  <c r="AC774" i="1" s="1"/>
  <c r="AB773" i="1"/>
  <c r="AC773" i="1" s="1"/>
  <c r="AB772" i="1"/>
  <c r="AC772" i="1" s="1"/>
  <c r="AB771" i="1"/>
  <c r="AC771" i="1" s="1"/>
  <c r="AB770" i="1"/>
  <c r="AC770" i="1" s="1"/>
  <c r="AB769" i="1"/>
  <c r="AC769" i="1" s="1"/>
  <c r="AB768" i="1"/>
  <c r="AC768" i="1" s="1"/>
  <c r="AB767" i="1"/>
  <c r="AC767" i="1" s="1"/>
  <c r="AB766" i="1"/>
  <c r="AC766" i="1" s="1"/>
  <c r="Y794" i="1"/>
  <c r="Z794" i="1" s="1"/>
  <c r="Y793" i="1"/>
  <c r="Z793" i="1" s="1"/>
  <c r="Y792" i="1"/>
  <c r="Z792" i="1" s="1"/>
  <c r="Y791" i="1"/>
  <c r="Z791" i="1" s="1"/>
  <c r="Y790" i="1"/>
  <c r="Z790" i="1" s="1"/>
  <c r="Y789" i="1"/>
  <c r="Z789" i="1" s="1"/>
  <c r="Y788" i="1"/>
  <c r="Z788" i="1" s="1"/>
  <c r="Y787" i="1"/>
  <c r="Z787" i="1" s="1"/>
  <c r="Y786" i="1"/>
  <c r="Z786" i="1" s="1"/>
  <c r="Y785" i="1"/>
  <c r="Z785" i="1" s="1"/>
  <c r="Y784" i="1"/>
  <c r="Z784" i="1" s="1"/>
  <c r="Y783" i="1"/>
  <c r="Z783" i="1" s="1"/>
  <c r="Y782" i="1"/>
  <c r="Z782" i="1" s="1"/>
  <c r="Y781" i="1"/>
  <c r="Z781" i="1" s="1"/>
  <c r="Y780" i="1"/>
  <c r="Z780" i="1" s="1"/>
  <c r="Y779" i="1"/>
  <c r="Z779" i="1" s="1"/>
  <c r="Y778" i="1"/>
  <c r="Z778" i="1" s="1"/>
  <c r="Y777" i="1"/>
  <c r="Z777" i="1" s="1"/>
  <c r="Y776" i="1"/>
  <c r="Z776" i="1" s="1"/>
  <c r="Y775" i="1"/>
  <c r="Z775" i="1" s="1"/>
  <c r="Y774" i="1"/>
  <c r="Z774" i="1" s="1"/>
  <c r="Y773" i="1"/>
  <c r="Z773" i="1" s="1"/>
  <c r="Y772" i="1"/>
  <c r="Z772" i="1" s="1"/>
  <c r="Y771" i="1"/>
  <c r="Z771" i="1" s="1"/>
  <c r="Y770" i="1"/>
  <c r="Z770" i="1" s="1"/>
  <c r="Y769" i="1"/>
  <c r="Z769" i="1" s="1"/>
  <c r="Y768" i="1"/>
  <c r="Z768" i="1" s="1"/>
  <c r="Y767" i="1"/>
  <c r="Z767" i="1" s="1"/>
  <c r="Y766" i="1"/>
  <c r="Z766" i="1" s="1"/>
  <c r="S794" i="1"/>
  <c r="U794" i="1"/>
  <c r="V794" i="1"/>
  <c r="W794" i="1"/>
  <c r="S793" i="1"/>
  <c r="U793" i="1"/>
  <c r="V793" i="1"/>
  <c r="W793" i="1"/>
  <c r="S792" i="1"/>
  <c r="U792" i="1"/>
  <c r="V792" i="1"/>
  <c r="W792" i="1"/>
  <c r="S791" i="1"/>
  <c r="U791" i="1"/>
  <c r="V791" i="1"/>
  <c r="W791" i="1"/>
  <c r="S790" i="1"/>
  <c r="U790" i="1"/>
  <c r="V790" i="1"/>
  <c r="W790" i="1"/>
  <c r="S789" i="1"/>
  <c r="U789" i="1"/>
  <c r="V789" i="1"/>
  <c r="W789" i="1"/>
  <c r="S788" i="1"/>
  <c r="U788" i="1"/>
  <c r="V788" i="1"/>
  <c r="W788" i="1"/>
  <c r="S787" i="1"/>
  <c r="U787" i="1"/>
  <c r="V787" i="1"/>
  <c r="W787" i="1"/>
  <c r="S786" i="1"/>
  <c r="U786" i="1"/>
  <c r="V786" i="1"/>
  <c r="W786" i="1"/>
  <c r="S785" i="1"/>
  <c r="U785" i="1"/>
  <c r="V785" i="1"/>
  <c r="W785" i="1"/>
  <c r="S784" i="1"/>
  <c r="U784" i="1"/>
  <c r="V784" i="1"/>
  <c r="W784" i="1"/>
  <c r="S783" i="1"/>
  <c r="U783" i="1"/>
  <c r="V783" i="1"/>
  <c r="W783" i="1"/>
  <c r="S782" i="1"/>
  <c r="U782" i="1"/>
  <c r="V782" i="1"/>
  <c r="W782" i="1"/>
  <c r="S781" i="1"/>
  <c r="U781" i="1"/>
  <c r="V781" i="1"/>
  <c r="W781" i="1"/>
  <c r="S780" i="1"/>
  <c r="U780" i="1"/>
  <c r="V780" i="1"/>
  <c r="W780" i="1"/>
  <c r="S779" i="1"/>
  <c r="U779" i="1"/>
  <c r="V779" i="1"/>
  <c r="W779" i="1"/>
  <c r="S778" i="1"/>
  <c r="U778" i="1"/>
  <c r="V778" i="1"/>
  <c r="W778" i="1"/>
  <c r="S777" i="1"/>
  <c r="U777" i="1"/>
  <c r="V777" i="1"/>
  <c r="W777" i="1"/>
  <c r="S776" i="1"/>
  <c r="U776" i="1"/>
  <c r="V776" i="1"/>
  <c r="W776" i="1"/>
  <c r="S775" i="1"/>
  <c r="U775" i="1"/>
  <c r="V775" i="1"/>
  <c r="W775" i="1"/>
  <c r="S774" i="1"/>
  <c r="U774" i="1"/>
  <c r="V774" i="1"/>
  <c r="W774" i="1"/>
  <c r="S773" i="1"/>
  <c r="U773" i="1"/>
  <c r="V773" i="1"/>
  <c r="W773" i="1"/>
  <c r="S772" i="1"/>
  <c r="U772" i="1"/>
  <c r="V772" i="1"/>
  <c r="W772" i="1"/>
  <c r="S771" i="1"/>
  <c r="U771" i="1"/>
  <c r="V771" i="1"/>
  <c r="W771" i="1"/>
  <c r="S770" i="1"/>
  <c r="U770" i="1"/>
  <c r="V770" i="1"/>
  <c r="W770" i="1"/>
  <c r="S769" i="1"/>
  <c r="U769" i="1"/>
  <c r="V769" i="1"/>
  <c r="W769" i="1"/>
  <c r="S768" i="1"/>
  <c r="U768" i="1"/>
  <c r="V768" i="1"/>
  <c r="W768" i="1"/>
  <c r="S767" i="1"/>
  <c r="U767" i="1"/>
  <c r="V767" i="1"/>
  <c r="W767" i="1"/>
  <c r="S766" i="1"/>
  <c r="U766" i="1"/>
  <c r="V766" i="1"/>
  <c r="W766" i="1"/>
  <c r="AB765" i="1"/>
  <c r="AC765" i="1" s="1"/>
  <c r="Y765" i="1"/>
  <c r="Z765" i="1" s="1"/>
  <c r="S765" i="1"/>
  <c r="U765" i="1"/>
  <c r="V765" i="1"/>
  <c r="W765" i="1"/>
  <c r="AB764" i="1"/>
  <c r="AC764" i="1" s="1"/>
  <c r="Y764" i="1"/>
  <c r="Z764" i="1" s="1"/>
  <c r="S764" i="1"/>
  <c r="U764" i="1"/>
  <c r="V764" i="1"/>
  <c r="W764" i="1"/>
  <c r="AB763" i="1"/>
  <c r="AC763" i="1" s="1"/>
  <c r="Y763" i="1"/>
  <c r="Z763" i="1" s="1"/>
  <c r="AB762" i="1"/>
  <c r="AC762" i="1" s="1"/>
  <c r="Y762" i="1"/>
  <c r="Z762" i="1" s="1"/>
  <c r="AB761" i="1"/>
  <c r="AC761" i="1" s="1"/>
  <c r="AB760" i="1"/>
  <c r="AC760" i="1" s="1"/>
  <c r="AB28" i="1"/>
  <c r="AC28" i="1" s="1"/>
  <c r="AB759" i="1"/>
  <c r="AC759" i="1" s="1"/>
  <c r="AB758" i="1"/>
  <c r="AC758" i="1" s="1"/>
  <c r="AB757" i="1"/>
  <c r="AC757" i="1" s="1"/>
  <c r="AB756" i="1"/>
  <c r="AC756" i="1" s="1"/>
  <c r="AB755" i="1"/>
  <c r="AC755" i="1" s="1"/>
  <c r="Y761" i="1"/>
  <c r="Z761" i="1" s="1"/>
  <c r="Y760" i="1"/>
  <c r="Z760" i="1" s="1"/>
  <c r="Y28" i="1"/>
  <c r="Z28" i="1" s="1"/>
  <c r="Y759" i="1"/>
  <c r="Z759" i="1" s="1"/>
  <c r="Y758" i="1"/>
  <c r="Z758" i="1" s="1"/>
  <c r="Y757" i="1"/>
  <c r="Z757" i="1" s="1"/>
  <c r="Y756" i="1"/>
  <c r="Z756" i="1" s="1"/>
  <c r="Y755" i="1"/>
  <c r="Z755" i="1" s="1"/>
  <c r="AB754" i="1"/>
  <c r="AC754" i="1" s="1"/>
  <c r="Y754" i="1"/>
  <c r="Z754" i="1" s="1"/>
  <c r="S763" i="1"/>
  <c r="U763" i="1"/>
  <c r="V763" i="1"/>
  <c r="W763" i="1"/>
  <c r="S762" i="1"/>
  <c r="U762" i="1"/>
  <c r="V762" i="1"/>
  <c r="W762" i="1"/>
  <c r="S761" i="1"/>
  <c r="U761" i="1"/>
  <c r="V761" i="1"/>
  <c r="W761" i="1"/>
  <c r="S760" i="1"/>
  <c r="U760" i="1"/>
  <c r="V760" i="1"/>
  <c r="W760" i="1"/>
  <c r="S28" i="1"/>
  <c r="U28" i="1"/>
  <c r="V28" i="1"/>
  <c r="W28" i="1"/>
  <c r="S759" i="1"/>
  <c r="U759" i="1"/>
  <c r="V759" i="1"/>
  <c r="W759" i="1"/>
  <c r="S758" i="1"/>
  <c r="U758" i="1"/>
  <c r="V758" i="1"/>
  <c r="W758" i="1"/>
  <c r="S757" i="1"/>
  <c r="U757" i="1"/>
  <c r="V757" i="1"/>
  <c r="W757" i="1"/>
  <c r="S756" i="1"/>
  <c r="U756" i="1"/>
  <c r="V756" i="1"/>
  <c r="W756" i="1"/>
  <c r="S755" i="1"/>
  <c r="U755" i="1"/>
  <c r="V755" i="1"/>
  <c r="W755" i="1"/>
  <c r="S754" i="1"/>
  <c r="U754" i="1"/>
  <c r="V754" i="1"/>
  <c r="W754" i="1"/>
  <c r="AB753" i="1"/>
  <c r="AC753" i="1" s="1"/>
  <c r="Y753" i="1"/>
  <c r="Z753" i="1" s="1"/>
  <c r="S753" i="1"/>
  <c r="U753" i="1"/>
  <c r="V753" i="1"/>
  <c r="W753" i="1"/>
  <c r="AB752" i="1"/>
  <c r="AC752" i="1" s="1"/>
  <c r="Y752" i="1"/>
  <c r="Z752" i="1" s="1"/>
  <c r="AB751" i="1"/>
  <c r="AC751" i="1" s="1"/>
  <c r="AB27" i="1"/>
  <c r="AC27" i="1" s="1"/>
  <c r="Y751" i="1"/>
  <c r="Z751" i="1" s="1"/>
  <c r="Y27" i="1"/>
  <c r="Z27" i="1" s="1"/>
  <c r="S752" i="1"/>
  <c r="U752" i="1"/>
  <c r="V752" i="1"/>
  <c r="W752" i="1"/>
  <c r="AB750" i="1"/>
  <c r="AC750" i="1" s="1"/>
  <c r="Y750" i="1"/>
  <c r="Z750" i="1" s="1"/>
  <c r="AB749" i="1"/>
  <c r="AC749" i="1" s="1"/>
  <c r="Y749" i="1"/>
  <c r="Z749" i="1" s="1"/>
  <c r="S751" i="1"/>
  <c r="U751" i="1"/>
  <c r="V751" i="1"/>
  <c r="W751" i="1"/>
  <c r="S27" i="1"/>
  <c r="U27" i="1"/>
  <c r="V27" i="1"/>
  <c r="W27" i="1"/>
  <c r="S750" i="1"/>
  <c r="U750" i="1"/>
  <c r="V750" i="1"/>
  <c r="W750" i="1"/>
  <c r="S749" i="1"/>
  <c r="U749" i="1"/>
  <c r="V749" i="1"/>
  <c r="W749" i="1"/>
  <c r="AB748" i="1"/>
  <c r="AC748" i="1" s="1"/>
  <c r="Y748" i="1"/>
  <c r="Z748" i="1" s="1"/>
  <c r="S748" i="1"/>
  <c r="U748" i="1"/>
  <c r="V748" i="1"/>
  <c r="W748" i="1"/>
  <c r="AB747" i="1"/>
  <c r="AC747" i="1" s="1"/>
  <c r="Y747" i="1"/>
  <c r="Z747" i="1" s="1"/>
  <c r="S747" i="1"/>
  <c r="U747" i="1"/>
  <c r="V747" i="1"/>
  <c r="W747" i="1"/>
  <c r="AB746" i="1"/>
  <c r="AC746" i="1" s="1"/>
  <c r="AB745" i="1"/>
  <c r="AC745" i="1" s="1"/>
  <c r="Y746" i="1"/>
  <c r="Z746" i="1" s="1"/>
  <c r="Y745" i="1"/>
  <c r="Z745" i="1" s="1"/>
  <c r="S746" i="1"/>
  <c r="U746" i="1"/>
  <c r="V746" i="1"/>
  <c r="W746" i="1"/>
  <c r="S745" i="1"/>
  <c r="U745" i="1"/>
  <c r="V745" i="1"/>
  <c r="W745" i="1"/>
  <c r="AB744" i="1"/>
  <c r="AC744" i="1" s="1"/>
  <c r="AB743" i="1"/>
  <c r="AC743" i="1" s="1"/>
  <c r="AB742" i="1"/>
  <c r="AC742" i="1" s="1"/>
  <c r="AB741" i="1"/>
  <c r="AC741" i="1" s="1"/>
  <c r="AB740" i="1"/>
  <c r="AC740" i="1" s="1"/>
  <c r="AB739" i="1"/>
  <c r="AC739" i="1" s="1"/>
  <c r="AB738" i="1"/>
  <c r="AC738" i="1" s="1"/>
  <c r="AB737" i="1"/>
  <c r="AC737" i="1" s="1"/>
  <c r="AB736" i="1"/>
  <c r="AC736" i="1" s="1"/>
  <c r="AB735" i="1"/>
  <c r="AC735" i="1" s="1"/>
  <c r="AB734" i="1"/>
  <c r="AC734" i="1" s="1"/>
  <c r="AB733" i="1"/>
  <c r="AC733" i="1" s="1"/>
  <c r="AB732" i="1"/>
  <c r="AC732" i="1" s="1"/>
  <c r="AB731" i="1"/>
  <c r="AC731" i="1" s="1"/>
  <c r="AB730" i="1"/>
  <c r="AC730" i="1" s="1"/>
  <c r="AB729" i="1"/>
  <c r="AC729" i="1" s="1"/>
  <c r="AB728" i="1"/>
  <c r="AC728" i="1" s="1"/>
  <c r="AB727" i="1"/>
  <c r="AC727" i="1" s="1"/>
  <c r="AB726" i="1"/>
  <c r="AC726" i="1" s="1"/>
  <c r="AB725" i="1"/>
  <c r="AC725" i="1" s="1"/>
  <c r="AB724" i="1"/>
  <c r="AC724" i="1" s="1"/>
  <c r="AB723" i="1"/>
  <c r="AC723" i="1" s="1"/>
  <c r="AB722" i="1"/>
  <c r="AC722" i="1" s="1"/>
  <c r="AB721" i="1"/>
  <c r="AC721" i="1" s="1"/>
  <c r="AB720" i="1"/>
  <c r="AC720" i="1" s="1"/>
  <c r="AB719" i="1"/>
  <c r="AC719" i="1" s="1"/>
  <c r="AB718" i="1"/>
  <c r="AC718" i="1" s="1"/>
  <c r="AB717" i="1"/>
  <c r="AC717" i="1" s="1"/>
  <c r="AB716" i="1"/>
  <c r="AC716" i="1" s="1"/>
  <c r="AB715" i="1"/>
  <c r="AC715" i="1" s="1"/>
  <c r="AB714" i="1"/>
  <c r="AC714" i="1" s="1"/>
  <c r="AB713" i="1"/>
  <c r="AC713" i="1" s="1"/>
  <c r="AB712" i="1"/>
  <c r="AC712" i="1" s="1"/>
  <c r="AB711" i="1"/>
  <c r="AC711" i="1" s="1"/>
  <c r="AB710" i="1"/>
  <c r="AC710" i="1" s="1"/>
  <c r="AB709" i="1"/>
  <c r="AC709" i="1" s="1"/>
  <c r="AB708" i="1"/>
  <c r="AC708" i="1" s="1"/>
  <c r="AB707" i="1"/>
  <c r="AC707" i="1" s="1"/>
  <c r="AB706" i="1"/>
  <c r="AC706" i="1" s="1"/>
  <c r="AB705" i="1"/>
  <c r="AC705" i="1" s="1"/>
  <c r="AB26" i="1"/>
  <c r="AC26" i="1" s="1"/>
  <c r="AB704" i="1"/>
  <c r="AC704" i="1" s="1"/>
  <c r="AB703" i="1"/>
  <c r="AC703" i="1" s="1"/>
  <c r="Y744" i="1"/>
  <c r="Z744" i="1" s="1"/>
  <c r="Y743" i="1"/>
  <c r="Z743" i="1" s="1"/>
  <c r="Y742" i="1"/>
  <c r="Z742" i="1" s="1"/>
  <c r="Y741" i="1"/>
  <c r="Z741" i="1" s="1"/>
  <c r="Y740" i="1"/>
  <c r="Z740" i="1" s="1"/>
  <c r="Y739" i="1"/>
  <c r="Z739" i="1" s="1"/>
  <c r="Y738" i="1"/>
  <c r="Z738" i="1" s="1"/>
  <c r="Y737" i="1"/>
  <c r="Z737" i="1" s="1"/>
  <c r="Y736" i="1"/>
  <c r="Z736" i="1" s="1"/>
  <c r="Y735" i="1"/>
  <c r="Z735" i="1" s="1"/>
  <c r="Y734" i="1"/>
  <c r="Z734" i="1" s="1"/>
  <c r="Y733" i="1"/>
  <c r="Z733" i="1" s="1"/>
  <c r="Y732" i="1"/>
  <c r="Z732" i="1" s="1"/>
  <c r="Y731" i="1"/>
  <c r="Z731" i="1" s="1"/>
  <c r="Y730" i="1"/>
  <c r="Z730" i="1" s="1"/>
  <c r="Y729" i="1"/>
  <c r="Z729" i="1" s="1"/>
  <c r="Y728" i="1"/>
  <c r="Z728" i="1" s="1"/>
  <c r="Y727" i="1"/>
  <c r="Z727" i="1" s="1"/>
  <c r="Y726" i="1"/>
  <c r="Z726" i="1" s="1"/>
  <c r="Y725" i="1"/>
  <c r="Z725" i="1" s="1"/>
  <c r="Y724" i="1"/>
  <c r="Z724" i="1" s="1"/>
  <c r="Y723" i="1"/>
  <c r="Z723" i="1" s="1"/>
  <c r="Y722" i="1"/>
  <c r="Z722" i="1" s="1"/>
  <c r="Y721" i="1"/>
  <c r="Z721" i="1" s="1"/>
  <c r="Y720" i="1"/>
  <c r="Z720" i="1" s="1"/>
  <c r="Y719" i="1"/>
  <c r="Z719" i="1" s="1"/>
  <c r="Y718" i="1"/>
  <c r="Z718" i="1" s="1"/>
  <c r="Y717" i="1"/>
  <c r="Z717" i="1" s="1"/>
  <c r="Y716" i="1"/>
  <c r="Z716" i="1" s="1"/>
  <c r="Y715" i="1"/>
  <c r="Z715" i="1" s="1"/>
  <c r="Y714" i="1"/>
  <c r="Z714" i="1" s="1"/>
  <c r="Y713" i="1"/>
  <c r="Z713" i="1" s="1"/>
  <c r="Y712" i="1"/>
  <c r="Z712" i="1" s="1"/>
  <c r="Y711" i="1"/>
  <c r="Z711" i="1" s="1"/>
  <c r="Y710" i="1"/>
  <c r="Z710" i="1" s="1"/>
  <c r="Y709" i="1"/>
  <c r="Z709" i="1" s="1"/>
  <c r="Y708" i="1"/>
  <c r="Z708" i="1" s="1"/>
  <c r="Y707" i="1"/>
  <c r="Z707" i="1" s="1"/>
  <c r="Y706" i="1"/>
  <c r="Z706" i="1" s="1"/>
  <c r="Y705" i="1"/>
  <c r="Z705" i="1" s="1"/>
  <c r="Y26" i="1"/>
  <c r="Z26" i="1" s="1"/>
  <c r="Y704" i="1"/>
  <c r="Z704" i="1" s="1"/>
  <c r="Y703" i="1"/>
  <c r="Z703" i="1" s="1"/>
  <c r="S26"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5" i="1"/>
  <c r="S736" i="1"/>
  <c r="S737" i="1"/>
  <c r="S738" i="1"/>
  <c r="S739" i="1"/>
  <c r="S740" i="1"/>
  <c r="S741" i="1"/>
  <c r="S742" i="1"/>
  <c r="S743" i="1"/>
  <c r="S744" i="1"/>
  <c r="U26" i="1"/>
  <c r="U705" i="1"/>
  <c r="U706" i="1"/>
  <c r="U707" i="1"/>
  <c r="U708" i="1"/>
  <c r="U709" i="1"/>
  <c r="U710" i="1"/>
  <c r="U711" i="1"/>
  <c r="U712" i="1"/>
  <c r="U713" i="1"/>
  <c r="U714" i="1"/>
  <c r="U715" i="1"/>
  <c r="U716" i="1"/>
  <c r="U717" i="1"/>
  <c r="U718" i="1"/>
  <c r="U719" i="1"/>
  <c r="U720" i="1"/>
  <c r="U721" i="1"/>
  <c r="U722" i="1"/>
  <c r="U723" i="1"/>
  <c r="U724" i="1"/>
  <c r="U725" i="1"/>
  <c r="U726" i="1"/>
  <c r="U727" i="1"/>
  <c r="U728" i="1"/>
  <c r="U729" i="1"/>
  <c r="U730" i="1"/>
  <c r="U731" i="1"/>
  <c r="U732" i="1"/>
  <c r="U733" i="1"/>
  <c r="U734" i="1"/>
  <c r="U735" i="1"/>
  <c r="U736" i="1"/>
  <c r="U737" i="1"/>
  <c r="U738" i="1"/>
  <c r="U739" i="1"/>
  <c r="U740" i="1"/>
  <c r="U741" i="1"/>
  <c r="U742" i="1"/>
  <c r="U743" i="1"/>
  <c r="U744" i="1"/>
  <c r="V26"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W26" i="1"/>
  <c r="W705" i="1"/>
  <c r="W706" i="1"/>
  <c r="W707" i="1"/>
  <c r="W708" i="1"/>
  <c r="W709" i="1"/>
  <c r="W710" i="1"/>
  <c r="W711" i="1"/>
  <c r="W712" i="1"/>
  <c r="W713" i="1"/>
  <c r="W714" i="1"/>
  <c r="W715" i="1"/>
  <c r="W716" i="1"/>
  <c r="W717" i="1"/>
  <c r="W718" i="1"/>
  <c r="W719" i="1"/>
  <c r="W720" i="1"/>
  <c r="W721" i="1"/>
  <c r="W722" i="1"/>
  <c r="W723" i="1"/>
  <c r="W724" i="1"/>
  <c r="W725" i="1"/>
  <c r="W726" i="1"/>
  <c r="W727" i="1"/>
  <c r="W728" i="1"/>
  <c r="W729" i="1"/>
  <c r="W730" i="1"/>
  <c r="W731" i="1"/>
  <c r="W732" i="1"/>
  <c r="W733" i="1"/>
  <c r="W734" i="1"/>
  <c r="W735" i="1"/>
  <c r="W736" i="1"/>
  <c r="W737" i="1"/>
  <c r="W738" i="1"/>
  <c r="W739" i="1"/>
  <c r="W740" i="1"/>
  <c r="W741" i="1"/>
  <c r="W742" i="1"/>
  <c r="W743" i="1"/>
  <c r="W744" i="1"/>
  <c r="S704" i="1"/>
  <c r="U704" i="1"/>
  <c r="V704" i="1"/>
  <c r="W704" i="1"/>
  <c r="S703" i="1"/>
  <c r="U703" i="1"/>
  <c r="V703" i="1"/>
  <c r="W703" i="1"/>
  <c r="AB702" i="1"/>
  <c r="AC702" i="1" s="1"/>
  <c r="AB701" i="1"/>
  <c r="AC701" i="1" s="1"/>
  <c r="AB25" i="1"/>
  <c r="AC25" i="1" s="1"/>
  <c r="AB700" i="1"/>
  <c r="AC700" i="1" s="1"/>
  <c r="AB24" i="1"/>
  <c r="AC24" i="1" s="1"/>
  <c r="Y702" i="1"/>
  <c r="Z702" i="1" s="1"/>
  <c r="Y701" i="1"/>
  <c r="Z701" i="1" s="1"/>
  <c r="Y25" i="1"/>
  <c r="Z25" i="1" s="1"/>
  <c r="Y700" i="1"/>
  <c r="Z700" i="1" s="1"/>
  <c r="Y24" i="1"/>
  <c r="Z24" i="1" s="1"/>
  <c r="AB699" i="1"/>
  <c r="AC699" i="1" s="1"/>
  <c r="Y699" i="1"/>
  <c r="Z699" i="1" s="1"/>
  <c r="S702" i="1"/>
  <c r="U702" i="1"/>
  <c r="V702" i="1"/>
  <c r="W702" i="1"/>
  <c r="S701" i="1"/>
  <c r="U701" i="1"/>
  <c r="V701" i="1"/>
  <c r="W701" i="1"/>
  <c r="S25" i="1"/>
  <c r="U25" i="1"/>
  <c r="V25" i="1"/>
  <c r="W25" i="1"/>
  <c r="S700" i="1"/>
  <c r="U700" i="1"/>
  <c r="V700" i="1"/>
  <c r="W700" i="1"/>
  <c r="S24" i="1"/>
  <c r="U24" i="1"/>
  <c r="V24" i="1"/>
  <c r="W24" i="1"/>
  <c r="S699" i="1"/>
  <c r="U699" i="1"/>
  <c r="V699" i="1"/>
  <c r="W699" i="1"/>
  <c r="AB698" i="1"/>
  <c r="AC698" i="1" s="1"/>
  <c r="Y698" i="1"/>
  <c r="Z698" i="1" s="1"/>
  <c r="S698" i="1"/>
  <c r="U698" i="1"/>
  <c r="V698" i="1"/>
  <c r="W698" i="1"/>
  <c r="AB697" i="1"/>
  <c r="AC697" i="1" s="1"/>
  <c r="Y697" i="1"/>
  <c r="Z697" i="1" s="1"/>
  <c r="S697" i="1"/>
  <c r="U697" i="1"/>
  <c r="V697" i="1"/>
  <c r="W697" i="1"/>
  <c r="AE47" i="1" l="1"/>
  <c r="AD288" i="1"/>
  <c r="AF288" i="1" s="1"/>
  <c r="Q6" i="1"/>
  <c r="AI49" i="1"/>
  <c r="AE288" i="1"/>
  <c r="AE58" i="1"/>
  <c r="AE60" i="1"/>
  <c r="AI1036" i="1"/>
  <c r="AI1025" i="1"/>
  <c r="AD60" i="1"/>
  <c r="AF60" i="1" s="1"/>
  <c r="AI1029" i="1"/>
  <c r="AI1028" i="1"/>
  <c r="AE59" i="1"/>
  <c r="AE57" i="1"/>
  <c r="AE56" i="1"/>
  <c r="AE55" i="1"/>
  <c r="AD58" i="1"/>
  <c r="AF58" i="1" s="1"/>
  <c r="AD59" i="1"/>
  <c r="AF59" i="1" s="1"/>
  <c r="AD57" i="1"/>
  <c r="AF57" i="1" s="1"/>
  <c r="AD56" i="1"/>
  <c r="AF56" i="1" s="1"/>
  <c r="AD55" i="1"/>
  <c r="AF55" i="1" s="1"/>
  <c r="AE53" i="1"/>
  <c r="AI1035" i="1"/>
  <c r="AE54" i="1"/>
  <c r="AD53" i="1"/>
  <c r="AF53" i="1" s="1"/>
  <c r="AD54" i="1"/>
  <c r="AF54" i="1" s="1"/>
  <c r="AI53" i="1"/>
  <c r="AE51" i="1"/>
  <c r="AE50" i="1"/>
  <c r="AI1020" i="1"/>
  <c r="AD1033" i="1"/>
  <c r="AF1033" i="1" s="1"/>
  <c r="AE52" i="1"/>
  <c r="AD51" i="1"/>
  <c r="AF51" i="1" s="1"/>
  <c r="AD52" i="1"/>
  <c r="AF52" i="1" s="1"/>
  <c r="AD50" i="1"/>
  <c r="AF50" i="1" s="1"/>
  <c r="AI50" i="1"/>
  <c r="AE49" i="1"/>
  <c r="AD49" i="1"/>
  <c r="AF49" i="1" s="1"/>
  <c r="AE48" i="1"/>
  <c r="AD48" i="1"/>
  <c r="AF48" i="1" s="1"/>
  <c r="AE45" i="1"/>
  <c r="AD47" i="1"/>
  <c r="AF47" i="1" s="1"/>
  <c r="AD46" i="1"/>
  <c r="AF46" i="1" s="1"/>
  <c r="AD45" i="1"/>
  <c r="AF45" i="1" s="1"/>
  <c r="AD44" i="1"/>
  <c r="AF44" i="1" s="1"/>
  <c r="AD43" i="1"/>
  <c r="AF43" i="1" s="1"/>
  <c r="AE41" i="1"/>
  <c r="AI1024" i="1"/>
  <c r="AE42" i="1"/>
  <c r="AI1023" i="1"/>
  <c r="AD1032" i="1"/>
  <c r="AF1032" i="1" s="1"/>
  <c r="AE1036" i="1"/>
  <c r="AD1036" i="1"/>
  <c r="AF1036" i="1" s="1"/>
  <c r="AI1018" i="1"/>
  <c r="AE1030" i="1"/>
  <c r="AD1026" i="1"/>
  <c r="AF1026" i="1" s="1"/>
  <c r="AE1033" i="1"/>
  <c r="AE1034" i="1"/>
  <c r="AE1035" i="1"/>
  <c r="AD1035" i="1"/>
  <c r="AF1035" i="1" s="1"/>
  <c r="AD1034" i="1"/>
  <c r="AF1034" i="1" s="1"/>
  <c r="AD1031" i="1"/>
  <c r="AF1031" i="1" s="1"/>
  <c r="AD42" i="1"/>
  <c r="AF42" i="1" s="1"/>
  <c r="AD41" i="1"/>
  <c r="AF41" i="1" s="1"/>
  <c r="AE1031" i="1"/>
  <c r="AE1032" i="1"/>
  <c r="AD1030" i="1"/>
  <c r="AF1030" i="1" s="1"/>
  <c r="AE1028" i="1"/>
  <c r="AE1026" i="1"/>
  <c r="AE1029" i="1"/>
  <c r="AE1025" i="1"/>
  <c r="AE1027" i="1"/>
  <c r="AE40" i="1"/>
  <c r="AD1025" i="1"/>
  <c r="AF1025" i="1" s="1"/>
  <c r="AD1028" i="1"/>
  <c r="AF1028" i="1" s="1"/>
  <c r="AD1027" i="1"/>
  <c r="AF1027" i="1" s="1"/>
  <c r="AD1029" i="1"/>
  <c r="AF1029" i="1" s="1"/>
  <c r="AD40" i="1"/>
  <c r="AF40" i="1" s="1"/>
  <c r="AI920" i="1"/>
  <c r="AI921" i="1"/>
  <c r="AI922" i="1"/>
  <c r="AI923" i="1"/>
  <c r="AI924" i="1"/>
  <c r="AI925" i="1"/>
  <c r="AI926" i="1"/>
  <c r="AI927" i="1"/>
  <c r="AI928" i="1"/>
  <c r="AI929" i="1"/>
  <c r="AI930" i="1"/>
  <c r="AI931" i="1"/>
  <c r="AI932" i="1"/>
  <c r="AI933" i="1"/>
  <c r="AI934" i="1"/>
  <c r="AI935" i="1"/>
  <c r="AI936" i="1"/>
  <c r="AI937" i="1"/>
  <c r="AE1020" i="1"/>
  <c r="AE1018" i="1"/>
  <c r="AE1021" i="1"/>
  <c r="AE1022" i="1"/>
  <c r="AE1019" i="1"/>
  <c r="AE1023" i="1"/>
  <c r="AE1024" i="1"/>
  <c r="AD1020" i="1"/>
  <c r="AF1020" i="1" s="1"/>
  <c r="AD1024" i="1"/>
  <c r="AF1024" i="1" s="1"/>
  <c r="AD1023" i="1"/>
  <c r="AF1023" i="1" s="1"/>
  <c r="AD1022" i="1"/>
  <c r="AF1022" i="1" s="1"/>
  <c r="AD1021" i="1"/>
  <c r="AF1021" i="1" s="1"/>
  <c r="AD1018" i="1"/>
  <c r="AF1018" i="1" s="1"/>
  <c r="AD1019" i="1"/>
  <c r="AF1019" i="1" s="1"/>
  <c r="AI704" i="1"/>
  <c r="AI703" i="1"/>
  <c r="AI702" i="1"/>
  <c r="AI723" i="1"/>
  <c r="AI727" i="1"/>
  <c r="AI729" i="1"/>
  <c r="AI732" i="1"/>
  <c r="AI734" i="1"/>
  <c r="AI738" i="1"/>
  <c r="AI741" i="1"/>
  <c r="AI744" i="1"/>
  <c r="AI725" i="1"/>
  <c r="AI730" i="1"/>
  <c r="AI733" i="1"/>
  <c r="AI736" i="1"/>
  <c r="AI739" i="1"/>
  <c r="AI742" i="1"/>
  <c r="AI719" i="1"/>
  <c r="AI720" i="1"/>
  <c r="AI721" i="1"/>
  <c r="AI722" i="1"/>
  <c r="AI724" i="1"/>
  <c r="AI726" i="1"/>
  <c r="AI728" i="1"/>
  <c r="AI731" i="1"/>
  <c r="AI735" i="1"/>
  <c r="AI737" i="1"/>
  <c r="AI740" i="1"/>
  <c r="AI743" i="1"/>
  <c r="AI775" i="1"/>
  <c r="AI774" i="1"/>
  <c r="AI773" i="1"/>
  <c r="AI772" i="1"/>
  <c r="AI771" i="1"/>
  <c r="AI770" i="1"/>
  <c r="AI769" i="1"/>
  <c r="AI768" i="1"/>
  <c r="AI767" i="1"/>
  <c r="AI766" i="1"/>
  <c r="AI765" i="1"/>
  <c r="AI764" i="1"/>
  <c r="AI763" i="1"/>
  <c r="AI762" i="1"/>
  <c r="AI761" i="1"/>
  <c r="AI777" i="1"/>
  <c r="AI838" i="1"/>
  <c r="AI839" i="1"/>
  <c r="AI821" i="1"/>
  <c r="AI778" i="1"/>
  <c r="AI776" i="1"/>
  <c r="AI855" i="1"/>
  <c r="AI840" i="1"/>
  <c r="AI35" i="1"/>
  <c r="AI31" i="1"/>
  <c r="AI826" i="1"/>
  <c r="AI836" i="1"/>
  <c r="AI837" i="1"/>
  <c r="AI835" i="1"/>
  <c r="AI30" i="1"/>
  <c r="AI29" i="1"/>
  <c r="AI32" i="1"/>
  <c r="AI843" i="1"/>
  <c r="AI844" i="1"/>
  <c r="AI841" i="1"/>
  <c r="AI842" i="1"/>
  <c r="AI794" i="1"/>
  <c r="AI793" i="1"/>
  <c r="AI792" i="1"/>
  <c r="AI791" i="1"/>
  <c r="AI790" i="1"/>
  <c r="AI789" i="1"/>
  <c r="AI788" i="1"/>
  <c r="AI787" i="1"/>
  <c r="AI786" i="1"/>
  <c r="AI785" i="1"/>
  <c r="AI784" i="1"/>
  <c r="AI783" i="1"/>
  <c r="AI782" i="1"/>
  <c r="AI781" i="1"/>
  <c r="AI780" i="1"/>
  <c r="AI779" i="1"/>
  <c r="AI820" i="1"/>
  <c r="AI819" i="1"/>
  <c r="AI915" i="1"/>
  <c r="AI916" i="1"/>
  <c r="AI917" i="1"/>
  <c r="AI918" i="1"/>
  <c r="AI33" i="1"/>
  <c r="AD939" i="1"/>
  <c r="AF939" i="1" s="1"/>
  <c r="AD1017" i="1"/>
  <c r="AF1017" i="1" s="1"/>
  <c r="AI893" i="1"/>
  <c r="AI919" i="1"/>
  <c r="AI34" i="1"/>
  <c r="AI290" i="1"/>
  <c r="AI818" i="1"/>
  <c r="AI817" i="1"/>
  <c r="AI816" i="1"/>
  <c r="AI805" i="1"/>
  <c r="AI804" i="1"/>
  <c r="AI803" i="1"/>
  <c r="AI802" i="1"/>
  <c r="AI801" i="1"/>
  <c r="AI760" i="1"/>
  <c r="AI28" i="1"/>
  <c r="AI815" i="1"/>
  <c r="AI814" i="1"/>
  <c r="AI813" i="1"/>
  <c r="AI812" i="1"/>
  <c r="AI811" i="1"/>
  <c r="AI810" i="1"/>
  <c r="AI809" i="1"/>
  <c r="AI808" i="1"/>
  <c r="AI807" i="1"/>
  <c r="AI806" i="1"/>
  <c r="AI759" i="1"/>
  <c r="AI758" i="1"/>
  <c r="AI757" i="1"/>
  <c r="AI756" i="1"/>
  <c r="AI755" i="1"/>
  <c r="AI754" i="1"/>
  <c r="AI753" i="1"/>
  <c r="AI752" i="1"/>
  <c r="AI751" i="1"/>
  <c r="AI27" i="1"/>
  <c r="AI750" i="1"/>
  <c r="AI749" i="1"/>
  <c r="AI748" i="1"/>
  <c r="AI747" i="1"/>
  <c r="AI1001" i="1"/>
  <c r="AI972"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56" i="1"/>
  <c r="AI857" i="1"/>
  <c r="AI701" i="1"/>
  <c r="AI25" i="1"/>
  <c r="AI700" i="1"/>
  <c r="AI24" i="1"/>
  <c r="AI699" i="1"/>
  <c r="AI698" i="1"/>
  <c r="AI697" i="1"/>
  <c r="AI971" i="1"/>
  <c r="AI974" i="1"/>
  <c r="AD962" i="1"/>
  <c r="AF962" i="1" s="1"/>
  <c r="AD961" i="1"/>
  <c r="AF961" i="1" s="1"/>
  <c r="AI906" i="1"/>
  <c r="AI907" i="1"/>
  <c r="AI905" i="1"/>
  <c r="AI903" i="1"/>
  <c r="AI904" i="1"/>
  <c r="AI902" i="1"/>
  <c r="AI894" i="1"/>
  <c r="AI895" i="1"/>
  <c r="AI896" i="1"/>
  <c r="AI897" i="1"/>
  <c r="AI898" i="1"/>
  <c r="AI899" i="1"/>
  <c r="AI900" i="1"/>
  <c r="AI901" i="1"/>
  <c r="AI797" i="1"/>
  <c r="AI796" i="1"/>
  <c r="AI746" i="1"/>
  <c r="AI745" i="1"/>
  <c r="AI26" i="1"/>
  <c r="AI705" i="1"/>
  <c r="AI706" i="1"/>
  <c r="AI707" i="1"/>
  <c r="AI708" i="1"/>
  <c r="AI709" i="1"/>
  <c r="AI710" i="1"/>
  <c r="AI711" i="1"/>
  <c r="AI712" i="1"/>
  <c r="AI713" i="1"/>
  <c r="AI714" i="1"/>
  <c r="AI715" i="1"/>
  <c r="AI716" i="1"/>
  <c r="AI717" i="1"/>
  <c r="AI718" i="1"/>
  <c r="AI1016" i="1"/>
  <c r="AI1011" i="1"/>
  <c r="AI38" i="1"/>
  <c r="AI1010" i="1"/>
  <c r="AI1009" i="1"/>
  <c r="AI1008" i="1"/>
  <c r="AI1007" i="1"/>
  <c r="AI1006" i="1"/>
  <c r="AI1005" i="1"/>
  <c r="AI1004" i="1"/>
  <c r="AI1003" i="1"/>
  <c r="AI1002" i="1"/>
  <c r="AI1000" i="1"/>
  <c r="AI999" i="1"/>
  <c r="AI998" i="1"/>
  <c r="AI997" i="1"/>
  <c r="AI996" i="1"/>
  <c r="AI995" i="1"/>
  <c r="AI994" i="1"/>
  <c r="AI993" i="1"/>
  <c r="AI992" i="1"/>
  <c r="AI37" i="1"/>
  <c r="AI991" i="1"/>
  <c r="AI990" i="1"/>
  <c r="AI989" i="1"/>
  <c r="AI988" i="1"/>
  <c r="AI987" i="1"/>
  <c r="AI986" i="1"/>
  <c r="AI985" i="1"/>
  <c r="AI984" i="1"/>
  <c r="AI983" i="1"/>
  <c r="AI982" i="1"/>
  <c r="AI981" i="1"/>
  <c r="AI980" i="1"/>
  <c r="AI979" i="1"/>
  <c r="AI978" i="1"/>
  <c r="AI969" i="1"/>
  <c r="AI968" i="1"/>
  <c r="AI967" i="1"/>
  <c r="AI952" i="1"/>
  <c r="AI953" i="1"/>
  <c r="AI954" i="1"/>
  <c r="AI955" i="1"/>
  <c r="AI956" i="1"/>
  <c r="AI957" i="1"/>
  <c r="AI958" i="1"/>
  <c r="AI959" i="1"/>
  <c r="AI960" i="1"/>
  <c r="AI961" i="1"/>
  <c r="AI962" i="1"/>
  <c r="AI963" i="1"/>
  <c r="AI964" i="1"/>
  <c r="AI965" i="1"/>
  <c r="AI966" i="1"/>
  <c r="AI950" i="1"/>
  <c r="AI951" i="1"/>
  <c r="AI949" i="1"/>
  <c r="AI948" i="1"/>
  <c r="AI947" i="1"/>
  <c r="AI946" i="1"/>
  <c r="AI945" i="1"/>
  <c r="AI944" i="1"/>
  <c r="AI36" i="1"/>
  <c r="AI943" i="1"/>
  <c r="AI942" i="1"/>
  <c r="AI941" i="1"/>
  <c r="AI939" i="1"/>
  <c r="AI940" i="1"/>
  <c r="AI938" i="1"/>
  <c r="AI977" i="1"/>
  <c r="AI973" i="1"/>
  <c r="AI681" i="1"/>
  <c r="AI975" i="1"/>
  <c r="AI822" i="1"/>
  <c r="AI823" i="1"/>
  <c r="AI824" i="1"/>
  <c r="AI825" i="1"/>
  <c r="AI827" i="1"/>
  <c r="AI828" i="1"/>
  <c r="AI829" i="1"/>
  <c r="AI830" i="1"/>
  <c r="AI831" i="1"/>
  <c r="AI832" i="1"/>
  <c r="AI833" i="1"/>
  <c r="AI834" i="1"/>
  <c r="AI970" i="1"/>
  <c r="AI908" i="1"/>
  <c r="AI909" i="1"/>
  <c r="AI910" i="1"/>
  <c r="AI911" i="1"/>
  <c r="AI912" i="1"/>
  <c r="AI913" i="1"/>
  <c r="AI914" i="1"/>
  <c r="AI847" i="1"/>
  <c r="AI848" i="1"/>
  <c r="AI849" i="1"/>
  <c r="AI850" i="1"/>
  <c r="AI851" i="1"/>
  <c r="AI852" i="1"/>
  <c r="AI853" i="1"/>
  <c r="AI854" i="1"/>
  <c r="AI845" i="1"/>
  <c r="AI846" i="1"/>
  <c r="AI800" i="1"/>
  <c r="AI799" i="1"/>
  <c r="AI798" i="1"/>
  <c r="AI795" i="1"/>
  <c r="AI976" i="1"/>
  <c r="AD1002" i="1"/>
  <c r="AF1002" i="1" s="1"/>
  <c r="AE1016" i="1"/>
  <c r="AE1010" i="1"/>
  <c r="AE1000" i="1"/>
  <c r="AE1011" i="1"/>
  <c r="AD1009" i="1"/>
  <c r="AF1009" i="1" s="1"/>
  <c r="AD978" i="1"/>
  <c r="AF978" i="1" s="1"/>
  <c r="AD1016" i="1"/>
  <c r="AF1016" i="1" s="1"/>
  <c r="AD1006" i="1"/>
  <c r="AF1006" i="1" s="1"/>
  <c r="AE38" i="1"/>
  <c r="AD1003" i="1"/>
  <c r="AF1003" i="1" s="1"/>
  <c r="AE1009" i="1"/>
  <c r="AE1008" i="1"/>
  <c r="AE1007" i="1"/>
  <c r="AE1005" i="1"/>
  <c r="AE1004" i="1"/>
  <c r="AE1003" i="1"/>
  <c r="AE1002" i="1"/>
  <c r="AE995" i="1"/>
  <c r="AD1005" i="1"/>
  <c r="AF1005" i="1" s="1"/>
  <c r="AE1006" i="1"/>
  <c r="AD1011" i="1"/>
  <c r="AF1011" i="1" s="1"/>
  <c r="AD38" i="1"/>
  <c r="AF38" i="1" s="1"/>
  <c r="AD1008" i="1"/>
  <c r="AF1008" i="1" s="1"/>
  <c r="AD1010" i="1"/>
  <c r="AF1010" i="1" s="1"/>
  <c r="AD1007" i="1"/>
  <c r="AF1007" i="1" s="1"/>
  <c r="AD1004" i="1"/>
  <c r="AF1004" i="1" s="1"/>
  <c r="AE980" i="1"/>
  <c r="AE973" i="1"/>
  <c r="AE992" i="1"/>
  <c r="AD968" i="1"/>
  <c r="AF968" i="1" s="1"/>
  <c r="AD997" i="1"/>
  <c r="AF997" i="1" s="1"/>
  <c r="AE977" i="1"/>
  <c r="AE1001" i="1"/>
  <c r="AE999" i="1"/>
  <c r="AE998" i="1"/>
  <c r="AE997" i="1"/>
  <c r="AE37" i="1"/>
  <c r="AD972" i="1"/>
  <c r="AF972" i="1" s="1"/>
  <c r="AD976" i="1"/>
  <c r="AF976" i="1" s="1"/>
  <c r="AE996" i="1"/>
  <c r="AE994" i="1"/>
  <c r="AE993" i="1"/>
  <c r="AD974" i="1"/>
  <c r="AF974" i="1" s="1"/>
  <c r="AD969" i="1"/>
  <c r="AF969" i="1" s="1"/>
  <c r="AD1001" i="1"/>
  <c r="AF1001" i="1" s="1"/>
  <c r="AD1000" i="1"/>
  <c r="AF1000" i="1" s="1"/>
  <c r="AD999" i="1"/>
  <c r="AF999" i="1" s="1"/>
  <c r="AD996" i="1"/>
  <c r="AF996" i="1" s="1"/>
  <c r="AD993" i="1"/>
  <c r="AF993" i="1" s="1"/>
  <c r="AD995" i="1"/>
  <c r="AF995" i="1" s="1"/>
  <c r="AD994" i="1"/>
  <c r="AF994" i="1" s="1"/>
  <c r="AD998" i="1"/>
  <c r="AF998" i="1" s="1"/>
  <c r="AD37" i="1"/>
  <c r="AF37" i="1" s="1"/>
  <c r="AE951" i="1"/>
  <c r="AD971" i="1"/>
  <c r="AF971" i="1" s="1"/>
  <c r="AE954" i="1"/>
  <c r="AE955" i="1"/>
  <c r="AE958" i="1"/>
  <c r="AE953" i="1"/>
  <c r="AE957" i="1"/>
  <c r="AE960" i="1"/>
  <c r="AE952" i="1"/>
  <c r="AE962" i="1"/>
  <c r="AE959" i="1"/>
  <c r="AD992" i="1"/>
  <c r="AF992" i="1" s="1"/>
  <c r="AE991" i="1"/>
  <c r="AE990" i="1"/>
  <c r="AE987" i="1"/>
  <c r="AE986" i="1"/>
  <c r="AE985" i="1"/>
  <c r="AE981" i="1"/>
  <c r="AE978" i="1"/>
  <c r="AE975" i="1"/>
  <c r="AE974" i="1"/>
  <c r="AE971" i="1"/>
  <c r="AE969" i="1"/>
  <c r="AE968" i="1"/>
  <c r="AE972" i="1"/>
  <c r="AE970" i="1"/>
  <c r="AE967" i="1"/>
  <c r="AE963" i="1"/>
  <c r="AE964" i="1"/>
  <c r="AE966" i="1"/>
  <c r="AE984" i="1"/>
  <c r="AE976" i="1"/>
  <c r="AD970" i="1"/>
  <c r="AF970" i="1" s="1"/>
  <c r="AD991" i="1"/>
  <c r="AF991" i="1" s="1"/>
  <c r="AD990" i="1"/>
  <c r="AF990" i="1" s="1"/>
  <c r="AD987" i="1"/>
  <c r="AF987" i="1" s="1"/>
  <c r="AD986" i="1"/>
  <c r="AF986" i="1" s="1"/>
  <c r="AD984" i="1"/>
  <c r="AF984" i="1" s="1"/>
  <c r="AE989" i="1"/>
  <c r="AE988" i="1"/>
  <c r="AE983" i="1"/>
  <c r="AE982" i="1"/>
  <c r="AE979" i="1"/>
  <c r="AD989" i="1"/>
  <c r="AF989" i="1" s="1"/>
  <c r="AD988" i="1"/>
  <c r="AF988" i="1" s="1"/>
  <c r="AD985" i="1"/>
  <c r="AF985" i="1" s="1"/>
  <c r="AD983" i="1"/>
  <c r="AF983" i="1" s="1"/>
  <c r="AD980" i="1"/>
  <c r="AF980" i="1" s="1"/>
  <c r="AD979" i="1"/>
  <c r="AF979" i="1" s="1"/>
  <c r="AD982" i="1"/>
  <c r="AF982" i="1" s="1"/>
  <c r="AD981" i="1"/>
  <c r="AF981" i="1" s="1"/>
  <c r="AE950" i="1"/>
  <c r="AD977" i="1"/>
  <c r="AF977" i="1" s="1"/>
  <c r="AE961" i="1"/>
  <c r="AD975" i="1"/>
  <c r="AF975" i="1" s="1"/>
  <c r="AD973" i="1"/>
  <c r="AF973" i="1" s="1"/>
  <c r="AD967" i="1"/>
  <c r="AF967" i="1" s="1"/>
  <c r="AD965" i="1"/>
  <c r="AF965" i="1" s="1"/>
  <c r="AD963" i="1"/>
  <c r="AF963" i="1" s="1"/>
  <c r="AD960" i="1"/>
  <c r="AF960" i="1" s="1"/>
  <c r="AE956" i="1"/>
  <c r="AD959" i="1"/>
  <c r="AF959" i="1" s="1"/>
  <c r="AD956" i="1"/>
  <c r="AF956" i="1" s="1"/>
  <c r="AD955" i="1"/>
  <c r="AF955" i="1" s="1"/>
  <c r="AD954" i="1"/>
  <c r="AF954" i="1" s="1"/>
  <c r="AD953" i="1"/>
  <c r="AF953" i="1" s="1"/>
  <c r="AD952" i="1"/>
  <c r="AF952" i="1" s="1"/>
  <c r="AD958" i="1"/>
  <c r="AF958" i="1" s="1"/>
  <c r="AD957" i="1"/>
  <c r="AF957" i="1" s="1"/>
  <c r="AE965" i="1"/>
  <c r="AD964" i="1"/>
  <c r="AF964" i="1" s="1"/>
  <c r="AD966" i="1"/>
  <c r="AF966" i="1" s="1"/>
  <c r="AD951" i="1"/>
  <c r="AF951" i="1" s="1"/>
  <c r="AD950" i="1"/>
  <c r="AF950" i="1" s="1"/>
  <c r="AD948" i="1"/>
  <c r="AF948" i="1" s="1"/>
  <c r="AE948" i="1"/>
  <c r="AE949" i="1"/>
  <c r="AD949" i="1"/>
  <c r="AF949" i="1" s="1"/>
  <c r="AE946" i="1"/>
  <c r="AE945" i="1"/>
  <c r="AE944" i="1"/>
  <c r="AE36" i="1"/>
  <c r="AE947" i="1"/>
  <c r="AD947" i="1"/>
  <c r="AF947" i="1" s="1"/>
  <c r="AD946" i="1"/>
  <c r="AF946" i="1" s="1"/>
  <c r="AD945" i="1"/>
  <c r="AF945" i="1" s="1"/>
  <c r="AD944" i="1"/>
  <c r="AF944" i="1" s="1"/>
  <c r="AD36" i="1"/>
  <c r="AF36" i="1" s="1"/>
  <c r="AE941" i="1"/>
  <c r="AE943" i="1"/>
  <c r="AD943" i="1"/>
  <c r="AF943" i="1" s="1"/>
  <c r="AE942" i="1"/>
  <c r="AD942" i="1"/>
  <c r="AF942" i="1" s="1"/>
  <c r="AD941" i="1"/>
  <c r="AF941" i="1" s="1"/>
  <c r="AE908" i="1"/>
  <c r="AE909" i="1"/>
  <c r="AD936" i="1"/>
  <c r="AF936" i="1" s="1"/>
  <c r="AD935" i="1"/>
  <c r="AF935" i="1" s="1"/>
  <c r="AE911" i="1"/>
  <c r="AE912" i="1"/>
  <c r="AE913" i="1"/>
  <c r="AE920" i="1"/>
  <c r="AE923" i="1"/>
  <c r="AE925" i="1"/>
  <c r="AE927" i="1"/>
  <c r="AE921" i="1"/>
  <c r="AE922" i="1"/>
  <c r="AE924" i="1"/>
  <c r="AE926" i="1"/>
  <c r="AE934" i="1"/>
  <c r="AE910" i="1"/>
  <c r="AE939" i="1"/>
  <c r="AE940" i="1"/>
  <c r="AD940" i="1"/>
  <c r="AF940" i="1" s="1"/>
  <c r="AD937" i="1"/>
  <c r="AF937" i="1" s="1"/>
  <c r="AE896" i="1"/>
  <c r="AE897" i="1"/>
  <c r="AE898" i="1"/>
  <c r="AE903" i="1"/>
  <c r="AE895" i="1"/>
  <c r="AE899" i="1"/>
  <c r="AE900" i="1"/>
  <c r="AE894" i="1"/>
  <c r="AE904" i="1"/>
  <c r="AE906" i="1"/>
  <c r="AE914" i="1"/>
  <c r="AD933" i="1"/>
  <c r="AF933" i="1" s="1"/>
  <c r="AD932" i="1"/>
  <c r="AF932" i="1" s="1"/>
  <c r="AD931" i="1"/>
  <c r="AF931" i="1" s="1"/>
  <c r="AD930" i="1"/>
  <c r="AF930" i="1" s="1"/>
  <c r="AD928" i="1"/>
  <c r="AF928" i="1" s="1"/>
  <c r="AD927" i="1"/>
  <c r="AF927" i="1" s="1"/>
  <c r="AD926" i="1"/>
  <c r="AF926" i="1" s="1"/>
  <c r="AD925" i="1"/>
  <c r="AF925" i="1" s="1"/>
  <c r="AD924" i="1"/>
  <c r="AF924" i="1" s="1"/>
  <c r="AD923" i="1"/>
  <c r="AF923" i="1" s="1"/>
  <c r="AD922" i="1"/>
  <c r="AF922" i="1" s="1"/>
  <c r="AD921" i="1"/>
  <c r="AF921" i="1" s="1"/>
  <c r="AD903" i="1"/>
  <c r="AF903" i="1" s="1"/>
  <c r="AD934" i="1"/>
  <c r="AF934" i="1" s="1"/>
  <c r="AE938" i="1"/>
  <c r="AE929" i="1"/>
  <c r="AE928" i="1"/>
  <c r="AE932" i="1"/>
  <c r="AE902" i="1"/>
  <c r="AE931" i="1"/>
  <c r="AE930" i="1"/>
  <c r="AE933" i="1"/>
  <c r="AE935" i="1"/>
  <c r="AE936" i="1"/>
  <c r="AE937" i="1"/>
  <c r="AD938" i="1"/>
  <c r="AF938" i="1" s="1"/>
  <c r="AE907" i="1"/>
  <c r="AE35" i="1"/>
  <c r="AE915" i="1"/>
  <c r="AE916" i="1"/>
  <c r="AE917" i="1"/>
  <c r="AE918" i="1"/>
  <c r="AE33" i="1"/>
  <c r="AE919" i="1"/>
  <c r="AE34" i="1"/>
  <c r="AE893" i="1"/>
  <c r="AD929" i="1"/>
  <c r="AF929" i="1" s="1"/>
  <c r="AD920" i="1"/>
  <c r="AF920" i="1" s="1"/>
  <c r="AD897" i="1"/>
  <c r="AF897" i="1" s="1"/>
  <c r="AE905" i="1"/>
  <c r="AD35" i="1"/>
  <c r="AF35" i="1" s="1"/>
  <c r="AD918" i="1"/>
  <c r="AF918" i="1" s="1"/>
  <c r="AD917" i="1"/>
  <c r="AF917" i="1" s="1"/>
  <c r="AD33" i="1"/>
  <c r="AF33" i="1" s="1"/>
  <c r="AD34" i="1"/>
  <c r="AF34" i="1" s="1"/>
  <c r="AD916" i="1"/>
  <c r="AF916" i="1" s="1"/>
  <c r="AD915" i="1"/>
  <c r="AF915" i="1" s="1"/>
  <c r="AD919" i="1"/>
  <c r="AF919" i="1" s="1"/>
  <c r="AD908" i="1"/>
  <c r="AF908" i="1" s="1"/>
  <c r="AD909" i="1"/>
  <c r="AF909" i="1" s="1"/>
  <c r="AD910" i="1"/>
  <c r="AF910" i="1" s="1"/>
  <c r="AD912" i="1"/>
  <c r="AF912" i="1" s="1"/>
  <c r="AD911" i="1"/>
  <c r="AF911" i="1" s="1"/>
  <c r="AD913" i="1"/>
  <c r="AF913" i="1" s="1"/>
  <c r="AD914" i="1"/>
  <c r="AF914" i="1" s="1"/>
  <c r="AD906" i="1"/>
  <c r="AF906" i="1" s="1"/>
  <c r="AD907" i="1"/>
  <c r="AF907" i="1" s="1"/>
  <c r="AD905" i="1"/>
  <c r="AF905" i="1" s="1"/>
  <c r="AD902" i="1"/>
  <c r="AF902" i="1" s="1"/>
  <c r="AD904" i="1"/>
  <c r="AF904" i="1" s="1"/>
  <c r="AE901" i="1"/>
  <c r="AD901" i="1"/>
  <c r="AF901" i="1" s="1"/>
  <c r="AD895" i="1"/>
  <c r="AF895" i="1" s="1"/>
  <c r="AD900" i="1"/>
  <c r="AF900" i="1" s="1"/>
  <c r="AD899" i="1"/>
  <c r="AF899" i="1" s="1"/>
  <c r="AD898" i="1"/>
  <c r="AF898" i="1" s="1"/>
  <c r="AD896" i="1"/>
  <c r="AF896" i="1" s="1"/>
  <c r="AD894" i="1"/>
  <c r="AF894" i="1" s="1"/>
  <c r="AD893" i="1"/>
  <c r="AF893" i="1" s="1"/>
  <c r="AE855" i="1"/>
  <c r="AE856" i="1"/>
  <c r="AE857" i="1"/>
  <c r="AD853" i="1"/>
  <c r="Z863" i="1"/>
  <c r="Z864" i="1"/>
  <c r="Z865" i="1"/>
  <c r="Z866" i="1"/>
  <c r="Z867" i="1"/>
  <c r="Z868" i="1"/>
  <c r="Z869" i="1"/>
  <c r="Z870" i="1"/>
  <c r="Z871" i="1"/>
  <c r="Z872" i="1"/>
  <c r="Z873" i="1"/>
  <c r="Z874" i="1"/>
  <c r="Z875" i="1"/>
  <c r="Z876" i="1"/>
  <c r="Z877" i="1"/>
  <c r="Z878" i="1"/>
  <c r="Z879" i="1"/>
  <c r="Z880" i="1"/>
  <c r="Z881" i="1"/>
  <c r="Z848" i="1"/>
  <c r="Z851" i="1"/>
  <c r="Z854" i="1"/>
  <c r="AC850" i="1"/>
  <c r="Z882" i="1"/>
  <c r="Z883" i="1"/>
  <c r="Z884" i="1"/>
  <c r="Z885" i="1"/>
  <c r="Z886" i="1"/>
  <c r="Z887" i="1"/>
  <c r="Z888" i="1"/>
  <c r="Z889" i="1"/>
  <c r="Z890" i="1"/>
  <c r="Z891" i="1"/>
  <c r="Z892" i="1"/>
  <c r="AC858" i="1"/>
  <c r="AC859" i="1"/>
  <c r="AC860" i="1"/>
  <c r="AC861" i="1"/>
  <c r="AC862" i="1"/>
  <c r="AC863" i="1"/>
  <c r="AC864" i="1"/>
  <c r="AC865" i="1"/>
  <c r="AC866" i="1"/>
  <c r="AC867" i="1"/>
  <c r="AC868" i="1"/>
  <c r="AC869" i="1"/>
  <c r="AC870" i="1"/>
  <c r="AC871" i="1"/>
  <c r="AC872" i="1"/>
  <c r="AC873" i="1"/>
  <c r="AC874" i="1"/>
  <c r="AC875" i="1"/>
  <c r="AC876" i="1"/>
  <c r="AC877" i="1"/>
  <c r="AC878" i="1"/>
  <c r="AC879" i="1"/>
  <c r="AE858" i="1"/>
  <c r="AE859" i="1"/>
  <c r="AE860" i="1"/>
  <c r="AE861" i="1"/>
  <c r="AE862" i="1"/>
  <c r="AE863" i="1"/>
  <c r="AE864" i="1"/>
  <c r="AE865" i="1"/>
  <c r="AE866" i="1"/>
  <c r="AE867" i="1"/>
  <c r="AE868" i="1"/>
  <c r="AE869" i="1"/>
  <c r="AE870" i="1"/>
  <c r="AE871" i="1"/>
  <c r="AE872" i="1"/>
  <c r="AE873" i="1"/>
  <c r="AE874" i="1"/>
  <c r="AE875" i="1"/>
  <c r="AE876" i="1"/>
  <c r="AE877" i="1"/>
  <c r="AE878" i="1"/>
  <c r="AE879" i="1"/>
  <c r="AE880" i="1"/>
  <c r="AE881" i="1"/>
  <c r="AE882" i="1"/>
  <c r="AE883" i="1"/>
  <c r="AE884" i="1"/>
  <c r="AE885" i="1"/>
  <c r="AE886" i="1"/>
  <c r="AE887" i="1"/>
  <c r="AE888" i="1"/>
  <c r="AE889" i="1"/>
  <c r="AE890" i="1"/>
  <c r="AE891" i="1"/>
  <c r="AE892" i="1"/>
  <c r="AC880" i="1"/>
  <c r="AC881" i="1"/>
  <c r="AC882" i="1"/>
  <c r="AC883" i="1"/>
  <c r="AC884" i="1"/>
  <c r="AC885" i="1"/>
  <c r="AC886" i="1"/>
  <c r="AC887" i="1"/>
  <c r="AC888" i="1"/>
  <c r="AC889" i="1"/>
  <c r="AC890" i="1"/>
  <c r="AC891" i="1"/>
  <c r="AC892" i="1"/>
  <c r="Z862" i="1"/>
  <c r="Z859" i="1"/>
  <c r="Z861" i="1"/>
  <c r="Z860" i="1"/>
  <c r="Z858" i="1"/>
  <c r="AC856" i="1"/>
  <c r="AD857" i="1"/>
  <c r="AF857" i="1" s="1"/>
  <c r="Z855" i="1"/>
  <c r="AD855" i="1" s="1"/>
  <c r="AF855" i="1" s="1"/>
  <c r="AE850" i="1"/>
  <c r="AE853" i="1"/>
  <c r="AE854" i="1"/>
  <c r="AE847" i="1"/>
  <c r="AD852" i="1"/>
  <c r="Z842" i="1"/>
  <c r="AE852" i="1"/>
  <c r="AE851" i="1"/>
  <c r="AE848" i="1"/>
  <c r="AE843" i="1"/>
  <c r="AE849" i="1"/>
  <c r="Z841" i="1"/>
  <c r="AC851" i="1"/>
  <c r="AC854" i="1"/>
  <c r="Z838" i="1"/>
  <c r="Z839" i="1"/>
  <c r="Z840" i="1"/>
  <c r="AC838" i="1"/>
  <c r="AC839" i="1"/>
  <c r="AC840" i="1"/>
  <c r="AE845" i="1"/>
  <c r="AE846" i="1"/>
  <c r="AD849" i="1"/>
  <c r="AF849" i="1" s="1"/>
  <c r="Z32" i="1"/>
  <c r="Z844" i="1"/>
  <c r="Z846" i="1"/>
  <c r="AC843" i="1"/>
  <c r="AC844" i="1"/>
  <c r="AC847" i="1"/>
  <c r="Z847" i="1"/>
  <c r="Z843" i="1"/>
  <c r="AC845" i="1"/>
  <c r="AC846" i="1"/>
  <c r="Z845" i="1"/>
  <c r="AC32" i="1"/>
  <c r="AE844" i="1"/>
  <c r="AE32" i="1"/>
  <c r="AE841" i="1"/>
  <c r="AE842" i="1"/>
  <c r="AC841" i="1"/>
  <c r="AC842" i="1"/>
  <c r="AE838" i="1"/>
  <c r="AE826" i="1"/>
  <c r="Z823" i="1"/>
  <c r="Z824" i="1"/>
  <c r="AC822" i="1"/>
  <c r="AE839" i="1"/>
  <c r="Z826" i="1"/>
  <c r="AC832" i="1"/>
  <c r="AC834" i="1"/>
  <c r="AE829" i="1"/>
  <c r="AE830" i="1"/>
  <c r="AE832" i="1"/>
  <c r="AE834" i="1"/>
  <c r="AE840" i="1"/>
  <c r="AC826" i="1"/>
  <c r="AE828" i="1"/>
  <c r="AE31" i="1"/>
  <c r="AC837" i="1"/>
  <c r="AC31" i="1"/>
  <c r="Z837" i="1"/>
  <c r="Z31" i="1"/>
  <c r="Z822" i="1"/>
  <c r="Z833" i="1"/>
  <c r="Z834" i="1"/>
  <c r="AC828" i="1"/>
  <c r="AC829" i="1"/>
  <c r="AC830" i="1"/>
  <c r="AC831" i="1"/>
  <c r="AE836" i="1"/>
  <c r="AC836" i="1"/>
  <c r="Z836" i="1"/>
  <c r="AE837" i="1"/>
  <c r="AE831" i="1"/>
  <c r="AE833" i="1"/>
  <c r="AE835" i="1"/>
  <c r="Z835" i="1"/>
  <c r="AC825" i="1"/>
  <c r="AE827" i="1"/>
  <c r="AC833" i="1"/>
  <c r="Z829" i="1"/>
  <c r="Z828" i="1"/>
  <c r="Z832" i="1"/>
  <c r="Z830" i="1"/>
  <c r="Z831" i="1"/>
  <c r="AC827" i="1"/>
  <c r="Z827" i="1"/>
  <c r="AE825" i="1"/>
  <c r="Z825" i="1"/>
  <c r="AC824" i="1"/>
  <c r="AC823" i="1"/>
  <c r="AE822" i="1"/>
  <c r="AE823" i="1"/>
  <c r="AE824" i="1"/>
  <c r="AC30" i="1"/>
  <c r="AC29" i="1"/>
  <c r="Z30" i="1"/>
  <c r="Z29" i="1"/>
  <c r="AE30" i="1"/>
  <c r="AE29" i="1"/>
  <c r="AD818" i="1"/>
  <c r="AF818" i="1" s="1"/>
  <c r="AE819" i="1"/>
  <c r="AE681" i="1"/>
  <c r="AE290" i="1"/>
  <c r="AD821" i="1"/>
  <c r="AF821" i="1" s="1"/>
  <c r="AE821" i="1"/>
  <c r="AE820" i="1"/>
  <c r="AD820" i="1"/>
  <c r="AF820" i="1" s="1"/>
  <c r="AD819" i="1"/>
  <c r="AF819" i="1" s="1"/>
  <c r="AE816" i="1"/>
  <c r="AD802" i="1"/>
  <c r="AF802" i="1" s="1"/>
  <c r="AE817" i="1"/>
  <c r="AD681" i="1"/>
  <c r="AF681" i="1" s="1"/>
  <c r="AD290" i="1"/>
  <c r="AF290" i="1" s="1"/>
  <c r="AE818" i="1"/>
  <c r="AD817" i="1"/>
  <c r="AF817" i="1" s="1"/>
  <c r="AD816" i="1"/>
  <c r="AF816" i="1" s="1"/>
  <c r="AE815" i="1"/>
  <c r="AE813" i="1"/>
  <c r="AE811" i="1"/>
  <c r="AE812" i="1"/>
  <c r="AD811" i="1"/>
  <c r="AF811" i="1" s="1"/>
  <c r="AD815" i="1"/>
  <c r="AF815" i="1" s="1"/>
  <c r="AD814" i="1"/>
  <c r="AF814" i="1" s="1"/>
  <c r="AD813" i="1"/>
  <c r="AF813" i="1" s="1"/>
  <c r="AD812" i="1"/>
  <c r="AF812" i="1" s="1"/>
  <c r="AE814" i="1"/>
  <c r="AE799" i="1"/>
  <c r="AE810" i="1"/>
  <c r="AE801" i="1"/>
  <c r="AD799" i="1"/>
  <c r="AF799" i="1" s="1"/>
  <c r="AE804" i="1"/>
  <c r="AE807" i="1"/>
  <c r="AE808" i="1"/>
  <c r="AE805" i="1"/>
  <c r="AE803" i="1"/>
  <c r="AE800" i="1"/>
  <c r="AE802" i="1"/>
  <c r="AD808" i="1"/>
  <c r="AF808" i="1" s="1"/>
  <c r="AD807" i="1"/>
  <c r="AF807" i="1" s="1"/>
  <c r="AD804" i="1"/>
  <c r="AF804" i="1" s="1"/>
  <c r="AD809" i="1"/>
  <c r="AF809" i="1" s="1"/>
  <c r="AD798" i="1"/>
  <c r="AF798" i="1" s="1"/>
  <c r="AD806" i="1"/>
  <c r="AF806" i="1" s="1"/>
  <c r="AD805" i="1"/>
  <c r="AF805" i="1" s="1"/>
  <c r="AD801" i="1"/>
  <c r="AF801" i="1" s="1"/>
  <c r="AD800" i="1"/>
  <c r="AF800" i="1" s="1"/>
  <c r="AD803" i="1"/>
  <c r="AF803" i="1" s="1"/>
  <c r="AD810" i="1"/>
  <c r="AF810" i="1" s="1"/>
  <c r="AE809" i="1"/>
  <c r="AE806" i="1"/>
  <c r="AE798" i="1"/>
  <c r="AE797" i="1"/>
  <c r="AE796" i="1"/>
  <c r="AE795" i="1"/>
  <c r="AD797" i="1"/>
  <c r="AF797" i="1" s="1"/>
  <c r="AD796" i="1"/>
  <c r="AF796" i="1" s="1"/>
  <c r="AD795" i="1"/>
  <c r="AF795" i="1" s="1"/>
  <c r="AE780" i="1"/>
  <c r="AE774" i="1"/>
  <c r="AE794" i="1"/>
  <c r="AE793" i="1"/>
  <c r="AE791" i="1"/>
  <c r="AE789" i="1"/>
  <c r="AE788" i="1"/>
  <c r="AE787" i="1"/>
  <c r="AE786" i="1"/>
  <c r="AE785" i="1"/>
  <c r="AE784" i="1"/>
  <c r="AE783" i="1"/>
  <c r="AE782" i="1"/>
  <c r="AE779" i="1"/>
  <c r="AE776" i="1"/>
  <c r="AE768" i="1"/>
  <c r="AE767" i="1"/>
  <c r="AE773" i="1"/>
  <c r="AE778" i="1"/>
  <c r="AE777" i="1"/>
  <c r="AE781" i="1"/>
  <c r="AE775" i="1"/>
  <c r="AD793" i="1"/>
  <c r="AF793" i="1" s="1"/>
  <c r="AD788" i="1"/>
  <c r="AF788" i="1" s="1"/>
  <c r="AD792" i="1"/>
  <c r="AF792" i="1" s="1"/>
  <c r="AD784" i="1"/>
  <c r="AF784" i="1" s="1"/>
  <c r="AD782" i="1"/>
  <c r="AF782" i="1" s="1"/>
  <c r="AD787" i="1"/>
  <c r="AF787" i="1" s="1"/>
  <c r="AD785" i="1"/>
  <c r="AF785" i="1" s="1"/>
  <c r="AD781" i="1"/>
  <c r="AF781" i="1" s="1"/>
  <c r="AD780" i="1"/>
  <c r="AF780" i="1" s="1"/>
  <c r="AD776" i="1"/>
  <c r="AF776" i="1" s="1"/>
  <c r="AD775" i="1"/>
  <c r="AF775" i="1" s="1"/>
  <c r="AD772" i="1"/>
  <c r="AF772" i="1" s="1"/>
  <c r="AD789" i="1"/>
  <c r="AF789" i="1" s="1"/>
  <c r="AD786" i="1"/>
  <c r="AF786" i="1" s="1"/>
  <c r="AD779" i="1"/>
  <c r="AF779" i="1" s="1"/>
  <c r="AD774" i="1"/>
  <c r="AF774" i="1" s="1"/>
  <c r="AD770" i="1"/>
  <c r="AF770" i="1" s="1"/>
  <c r="AD769" i="1"/>
  <c r="AF769" i="1" s="1"/>
  <c r="AE772" i="1"/>
  <c r="AE792" i="1"/>
  <c r="AE790" i="1"/>
  <c r="AE770" i="1"/>
  <c r="AD766" i="1"/>
  <c r="AF766" i="1" s="1"/>
  <c r="AE766" i="1"/>
  <c r="AD794" i="1"/>
  <c r="AF794" i="1" s="1"/>
  <c r="AD791" i="1"/>
  <c r="AF791" i="1" s="1"/>
  <c r="AD783" i="1"/>
  <c r="AF783" i="1" s="1"/>
  <c r="AD778" i="1"/>
  <c r="AF778" i="1" s="1"/>
  <c r="AD771" i="1"/>
  <c r="AF771" i="1" s="1"/>
  <c r="AD773" i="1"/>
  <c r="AF773" i="1" s="1"/>
  <c r="AE769" i="1"/>
  <c r="AD768" i="1"/>
  <c r="AF768" i="1" s="1"/>
  <c r="AD767" i="1"/>
  <c r="AF767" i="1" s="1"/>
  <c r="AD777" i="1"/>
  <c r="AF777" i="1" s="1"/>
  <c r="AD790" i="1"/>
  <c r="AF790" i="1" s="1"/>
  <c r="AE771" i="1"/>
  <c r="AE757" i="1"/>
  <c r="AE765" i="1"/>
  <c r="AD765" i="1"/>
  <c r="AF765" i="1" s="1"/>
  <c r="AE764" i="1"/>
  <c r="AD764" i="1"/>
  <c r="AF764" i="1" s="1"/>
  <c r="AE755" i="1"/>
  <c r="AE758" i="1"/>
  <c r="AE756" i="1"/>
  <c r="AE28" i="1"/>
  <c r="AE763" i="1"/>
  <c r="AE759" i="1"/>
  <c r="AE754" i="1"/>
  <c r="AD763" i="1"/>
  <c r="AF763" i="1" s="1"/>
  <c r="AD762" i="1"/>
  <c r="AF762" i="1" s="1"/>
  <c r="AE762" i="1"/>
  <c r="AD761" i="1"/>
  <c r="AF761" i="1" s="1"/>
  <c r="AD28" i="1"/>
  <c r="AF28" i="1" s="1"/>
  <c r="AD758" i="1"/>
  <c r="AF758" i="1" s="1"/>
  <c r="AD760" i="1"/>
  <c r="AF760" i="1" s="1"/>
  <c r="AD759" i="1"/>
  <c r="AF759" i="1" s="1"/>
  <c r="AD757" i="1"/>
  <c r="AF757" i="1" s="1"/>
  <c r="AD756" i="1"/>
  <c r="AF756" i="1" s="1"/>
  <c r="AD755" i="1"/>
  <c r="AF755" i="1" s="1"/>
  <c r="AE760" i="1"/>
  <c r="AE761" i="1"/>
  <c r="AD754" i="1"/>
  <c r="AF754" i="1" s="1"/>
  <c r="AD753" i="1"/>
  <c r="AF753" i="1" s="1"/>
  <c r="AE753" i="1"/>
  <c r="AE749" i="1"/>
  <c r="AD752" i="1"/>
  <c r="AF752" i="1" s="1"/>
  <c r="AD27" i="1"/>
  <c r="AF27" i="1" s="1"/>
  <c r="AD751" i="1"/>
  <c r="AF751" i="1" s="1"/>
  <c r="AE27" i="1"/>
  <c r="AE752" i="1"/>
  <c r="AE750" i="1"/>
  <c r="AE751" i="1"/>
  <c r="AE748" i="1"/>
  <c r="AD750" i="1"/>
  <c r="AF750" i="1" s="1"/>
  <c r="AD749" i="1"/>
  <c r="AF749" i="1" s="1"/>
  <c r="AD748" i="1"/>
  <c r="AF748" i="1" s="1"/>
  <c r="AE747" i="1"/>
  <c r="AD747" i="1"/>
  <c r="AF747" i="1" s="1"/>
  <c r="AE746" i="1"/>
  <c r="AE745" i="1"/>
  <c r="AD746" i="1"/>
  <c r="AF746" i="1" s="1"/>
  <c r="AD745" i="1"/>
  <c r="AF745" i="1" s="1"/>
  <c r="AE701" i="1"/>
  <c r="AE703" i="1"/>
  <c r="AD736" i="1"/>
  <c r="AF736" i="1" s="1"/>
  <c r="AD735" i="1"/>
  <c r="AF735" i="1" s="1"/>
  <c r="AD744" i="1"/>
  <c r="AF744" i="1" s="1"/>
  <c r="AD742" i="1"/>
  <c r="AF742" i="1" s="1"/>
  <c r="AD741" i="1"/>
  <c r="AF741" i="1" s="1"/>
  <c r="AD739" i="1"/>
  <c r="AF739" i="1" s="1"/>
  <c r="AD737" i="1"/>
  <c r="AF737" i="1" s="1"/>
  <c r="AD734" i="1"/>
  <c r="AF734" i="1" s="1"/>
  <c r="AD733" i="1"/>
  <c r="AF733" i="1" s="1"/>
  <c r="AD732" i="1"/>
  <c r="AF732" i="1" s="1"/>
  <c r="AD731" i="1"/>
  <c r="AF731" i="1" s="1"/>
  <c r="AD730" i="1"/>
  <c r="AF730" i="1" s="1"/>
  <c r="AD729" i="1"/>
  <c r="AF729" i="1" s="1"/>
  <c r="AD728" i="1"/>
  <c r="AF728" i="1" s="1"/>
  <c r="AD727" i="1"/>
  <c r="AF727" i="1" s="1"/>
  <c r="AD726" i="1"/>
  <c r="AF726" i="1" s="1"/>
  <c r="AD725" i="1"/>
  <c r="AF725" i="1" s="1"/>
  <c r="AD724" i="1"/>
  <c r="AF724" i="1" s="1"/>
  <c r="AD723" i="1"/>
  <c r="AF723" i="1" s="1"/>
  <c r="AD722" i="1"/>
  <c r="AF722" i="1" s="1"/>
  <c r="AD721" i="1"/>
  <c r="AF721" i="1" s="1"/>
  <c r="AD720" i="1"/>
  <c r="AF720" i="1" s="1"/>
  <c r="AD719" i="1"/>
  <c r="AF719" i="1" s="1"/>
  <c r="AD718" i="1"/>
  <c r="AF718" i="1" s="1"/>
  <c r="AD717" i="1"/>
  <c r="AF717" i="1" s="1"/>
  <c r="AD716" i="1"/>
  <c r="AF716" i="1" s="1"/>
  <c r="AD715" i="1"/>
  <c r="AF715" i="1" s="1"/>
  <c r="AD714" i="1"/>
  <c r="AF714" i="1" s="1"/>
  <c r="AD713" i="1"/>
  <c r="AF713" i="1" s="1"/>
  <c r="AD712" i="1"/>
  <c r="AF712" i="1" s="1"/>
  <c r="AD711" i="1"/>
  <c r="AF711" i="1" s="1"/>
  <c r="AD710" i="1"/>
  <c r="AF710" i="1" s="1"/>
  <c r="AD743" i="1"/>
  <c r="AF743" i="1" s="1"/>
  <c r="AD740" i="1"/>
  <c r="AF740" i="1" s="1"/>
  <c r="AD738" i="1"/>
  <c r="AF738" i="1" s="1"/>
  <c r="AD709" i="1"/>
  <c r="AF709" i="1" s="1"/>
  <c r="AD708" i="1"/>
  <c r="AF708" i="1" s="1"/>
  <c r="AD707" i="1"/>
  <c r="AF707" i="1" s="1"/>
  <c r="AD706" i="1"/>
  <c r="AF706" i="1" s="1"/>
  <c r="AD705" i="1"/>
  <c r="AF705" i="1" s="1"/>
  <c r="AD26" i="1"/>
  <c r="AF26" i="1" s="1"/>
  <c r="AD704" i="1"/>
  <c r="AF704" i="1" s="1"/>
  <c r="AE26" i="1"/>
  <c r="AE705" i="1"/>
  <c r="AE706" i="1"/>
  <c r="AE707" i="1"/>
  <c r="AE708" i="1"/>
  <c r="AE709" i="1"/>
  <c r="AE710" i="1"/>
  <c r="AE734" i="1"/>
  <c r="AE736" i="1"/>
  <c r="AE738" i="1"/>
  <c r="AE740" i="1"/>
  <c r="AE711" i="1"/>
  <c r="AE712" i="1"/>
  <c r="AE713" i="1"/>
  <c r="AE714" i="1"/>
  <c r="AE715" i="1"/>
  <c r="AE716" i="1"/>
  <c r="AE717" i="1"/>
  <c r="AE718" i="1"/>
  <c r="AE719" i="1"/>
  <c r="AE720" i="1"/>
  <c r="AE721" i="1"/>
  <c r="AE722" i="1"/>
  <c r="AE723" i="1"/>
  <c r="AE724" i="1"/>
  <c r="AE725" i="1"/>
  <c r="AE726" i="1"/>
  <c r="AE727" i="1"/>
  <c r="AE728" i="1"/>
  <c r="AE729" i="1"/>
  <c r="AE730" i="1"/>
  <c r="AE731" i="1"/>
  <c r="AE732" i="1"/>
  <c r="AE733" i="1"/>
  <c r="AE735" i="1"/>
  <c r="AE737" i="1"/>
  <c r="AE739" i="1"/>
  <c r="AE741" i="1"/>
  <c r="AE742" i="1"/>
  <c r="AE743" i="1"/>
  <c r="AE744" i="1"/>
  <c r="AE704" i="1"/>
  <c r="AD703" i="1"/>
  <c r="AF703" i="1" s="1"/>
  <c r="AE702" i="1"/>
  <c r="AE24" i="1"/>
  <c r="AE25" i="1"/>
  <c r="AD702" i="1"/>
  <c r="AF702" i="1" s="1"/>
  <c r="AD701" i="1"/>
  <c r="AF701" i="1" s="1"/>
  <c r="AD700" i="1"/>
  <c r="AF700" i="1" s="1"/>
  <c r="AD24" i="1"/>
  <c r="AF24" i="1" s="1"/>
  <c r="AD25" i="1"/>
  <c r="AF25" i="1" s="1"/>
  <c r="AE700" i="1"/>
  <c r="AD699" i="1"/>
  <c r="AF699" i="1" s="1"/>
  <c r="AE699" i="1"/>
  <c r="AE698" i="1"/>
  <c r="AD698" i="1"/>
  <c r="AF698" i="1" s="1"/>
  <c r="AE697" i="1"/>
  <c r="AD697" i="1"/>
  <c r="AF697" i="1" s="1"/>
  <c r="AF853" i="1" l="1"/>
  <c r="AF852" i="1"/>
  <c r="AD856" i="1"/>
  <c r="AF856" i="1" s="1"/>
  <c r="AD851" i="1"/>
  <c r="AD848" i="1"/>
  <c r="AF848" i="1" s="1"/>
  <c r="AD850" i="1"/>
  <c r="AF850" i="1" s="1"/>
  <c r="AD854" i="1"/>
  <c r="AD863" i="1"/>
  <c r="AF863" i="1" s="1"/>
  <c r="AD864" i="1"/>
  <c r="AF864" i="1" s="1"/>
  <c r="AD865" i="1"/>
  <c r="AF865" i="1" s="1"/>
  <c r="AD860" i="1"/>
  <c r="AF860" i="1" s="1"/>
  <c r="AD858" i="1"/>
  <c r="AF858" i="1" s="1"/>
  <c r="AD866" i="1"/>
  <c r="AF866" i="1" s="1"/>
  <c r="AD867" i="1"/>
  <c r="AF867" i="1" s="1"/>
  <c r="AD868" i="1"/>
  <c r="AF868" i="1" s="1"/>
  <c r="AD869" i="1"/>
  <c r="AF869" i="1" s="1"/>
  <c r="AD870" i="1"/>
  <c r="AF870" i="1" s="1"/>
  <c r="AD871" i="1"/>
  <c r="AF871" i="1" s="1"/>
  <c r="AD872" i="1"/>
  <c r="AF872" i="1" s="1"/>
  <c r="AD873" i="1"/>
  <c r="AF873" i="1" s="1"/>
  <c r="AD874" i="1"/>
  <c r="AF874" i="1" s="1"/>
  <c r="AD875" i="1"/>
  <c r="AF875" i="1" s="1"/>
  <c r="AD862" i="1"/>
  <c r="AF862" i="1" s="1"/>
  <c r="AD876" i="1"/>
  <c r="AF876" i="1" s="1"/>
  <c r="AD877" i="1"/>
  <c r="AF877" i="1" s="1"/>
  <c r="AD878" i="1"/>
  <c r="AF878" i="1" s="1"/>
  <c r="AD879" i="1"/>
  <c r="AF879" i="1" s="1"/>
  <c r="AD880" i="1"/>
  <c r="AF880" i="1" s="1"/>
  <c r="AD881" i="1"/>
  <c r="AF881" i="1" s="1"/>
  <c r="AD882" i="1"/>
  <c r="AF882" i="1" s="1"/>
  <c r="AD883" i="1"/>
  <c r="AF883" i="1" s="1"/>
  <c r="AD884" i="1"/>
  <c r="AF884" i="1" s="1"/>
  <c r="AD885" i="1"/>
  <c r="AF885" i="1" s="1"/>
  <c r="AD886" i="1"/>
  <c r="AF886" i="1" s="1"/>
  <c r="AD887" i="1"/>
  <c r="AF887" i="1" s="1"/>
  <c r="AD888" i="1"/>
  <c r="AF888" i="1" s="1"/>
  <c r="AD889" i="1"/>
  <c r="AF889" i="1" s="1"/>
  <c r="AD890" i="1"/>
  <c r="AF890" i="1" s="1"/>
  <c r="AD891" i="1"/>
  <c r="AF891" i="1" s="1"/>
  <c r="AD892" i="1"/>
  <c r="AF892" i="1" s="1"/>
  <c r="AD859" i="1"/>
  <c r="AF859" i="1" s="1"/>
  <c r="AD861" i="1"/>
  <c r="AF861" i="1" s="1"/>
  <c r="AD844" i="1"/>
  <c r="AF844" i="1" s="1"/>
  <c r="AD840" i="1"/>
  <c r="AD32" i="1"/>
  <c r="AF32" i="1" s="1"/>
  <c r="AD843" i="1"/>
  <c r="AF843" i="1" s="1"/>
  <c r="AD838" i="1"/>
  <c r="AF838" i="1" s="1"/>
  <c r="AD839" i="1"/>
  <c r="AF839" i="1" s="1"/>
  <c r="AD841" i="1"/>
  <c r="AF841" i="1" s="1"/>
  <c r="AD845" i="1"/>
  <c r="AF845" i="1" s="1"/>
  <c r="AD847" i="1"/>
  <c r="AF847" i="1" s="1"/>
  <c r="AD846" i="1"/>
  <c r="AF846" i="1" s="1"/>
  <c r="AD826" i="1"/>
  <c r="AF826" i="1" s="1"/>
  <c r="AD842" i="1"/>
  <c r="AF842" i="1" s="1"/>
  <c r="AD832" i="1"/>
  <c r="AF832" i="1" s="1"/>
  <c r="AD837" i="1"/>
  <c r="AF837" i="1" s="1"/>
  <c r="AD822" i="1"/>
  <c r="AF822" i="1" s="1"/>
  <c r="AD31" i="1"/>
  <c r="AF31" i="1" s="1"/>
  <c r="AD834" i="1"/>
  <c r="AF834" i="1" s="1"/>
  <c r="AD830" i="1"/>
  <c r="AF830" i="1" s="1"/>
  <c r="AD831" i="1"/>
  <c r="AF831" i="1" s="1"/>
  <c r="AD833" i="1"/>
  <c r="AF833" i="1" s="1"/>
  <c r="AD829" i="1"/>
  <c r="AF829" i="1" s="1"/>
  <c r="AD836" i="1"/>
  <c r="AF836" i="1" s="1"/>
  <c r="AD827" i="1"/>
  <c r="AF827" i="1" s="1"/>
  <c r="AD835" i="1"/>
  <c r="AF835" i="1" s="1"/>
  <c r="AD828" i="1"/>
  <c r="AF828" i="1" s="1"/>
  <c r="AD823" i="1"/>
  <c r="AF823" i="1" s="1"/>
  <c r="AD825" i="1"/>
  <c r="AF825" i="1" s="1"/>
  <c r="AD824" i="1"/>
  <c r="AF824" i="1" s="1"/>
  <c r="AD30" i="1"/>
  <c r="AF30" i="1" s="1"/>
  <c r="AD29" i="1"/>
  <c r="AF29" i="1" s="1"/>
  <c r="S14" i="1"/>
  <c r="AI14" i="1" s="1"/>
  <c r="AF854" i="1" l="1"/>
  <c r="AF851" i="1"/>
  <c r="AF840" i="1"/>
  <c r="AB696" i="1"/>
  <c r="AC696" i="1" s="1"/>
  <c r="Y696" i="1"/>
  <c r="Z696" i="1" s="1"/>
  <c r="S696" i="1"/>
  <c r="AI696" i="1" s="1"/>
  <c r="U696" i="1"/>
  <c r="V696" i="1"/>
  <c r="W696" i="1"/>
  <c r="AB695" i="1"/>
  <c r="AC695" i="1" s="1"/>
  <c r="AB694" i="1"/>
  <c r="AC694" i="1" s="1"/>
  <c r="Y695" i="1"/>
  <c r="Z695" i="1" s="1"/>
  <c r="Y694" i="1"/>
  <c r="Z694" i="1" s="1"/>
  <c r="S695" i="1"/>
  <c r="AI695" i="1" s="1"/>
  <c r="U695" i="1"/>
  <c r="V695" i="1"/>
  <c r="W695" i="1"/>
  <c r="S694" i="1"/>
  <c r="AI694" i="1" s="1"/>
  <c r="U694" i="1"/>
  <c r="V694" i="1"/>
  <c r="W694" i="1"/>
  <c r="AD696" i="1" l="1"/>
  <c r="AF696" i="1" s="1"/>
  <c r="AE696" i="1"/>
  <c r="AD695" i="1"/>
  <c r="AF695" i="1" s="1"/>
  <c r="AD694" i="1"/>
  <c r="AF694" i="1" s="1"/>
  <c r="AE695" i="1"/>
  <c r="AE694" i="1"/>
  <c r="AB693" i="1" l="1"/>
  <c r="AC693" i="1" s="1"/>
  <c r="Y693" i="1"/>
  <c r="Z693" i="1" s="1"/>
  <c r="AB692" i="1"/>
  <c r="AC692" i="1" s="1"/>
  <c r="Y692" i="1"/>
  <c r="Z692" i="1" s="1"/>
  <c r="S693" i="1"/>
  <c r="AI693" i="1" s="1"/>
  <c r="U693" i="1"/>
  <c r="V693" i="1"/>
  <c r="W693" i="1"/>
  <c r="S692" i="1"/>
  <c r="AI692" i="1" s="1"/>
  <c r="U692" i="1"/>
  <c r="V692" i="1"/>
  <c r="W692" i="1"/>
  <c r="AD693" i="1" l="1"/>
  <c r="AF693" i="1" s="1"/>
  <c r="AE693" i="1"/>
  <c r="AD692" i="1"/>
  <c r="AF692" i="1" s="1"/>
  <c r="AE692" i="1"/>
  <c r="AB691" i="1" l="1"/>
  <c r="AC691" i="1" s="1"/>
  <c r="AB690" i="1"/>
  <c r="AC690" i="1" s="1"/>
  <c r="AB689" i="1"/>
  <c r="AC689" i="1" s="1"/>
  <c r="AB688" i="1"/>
  <c r="AC688" i="1" s="1"/>
  <c r="AB687" i="1"/>
  <c r="AC687" i="1" s="1"/>
  <c r="AB686" i="1"/>
  <c r="AC686" i="1" s="1"/>
  <c r="AB685" i="1"/>
  <c r="AC685" i="1" s="1"/>
  <c r="AB23" i="1"/>
  <c r="AC23" i="1" s="1"/>
  <c r="AB684" i="1"/>
  <c r="AC684" i="1" s="1"/>
  <c r="AB683" i="1"/>
  <c r="AC683" i="1" s="1"/>
  <c r="Y691" i="1"/>
  <c r="Z691" i="1" s="1"/>
  <c r="Y690" i="1"/>
  <c r="Z690" i="1" s="1"/>
  <c r="Y689" i="1"/>
  <c r="Z689" i="1" s="1"/>
  <c r="Y688" i="1"/>
  <c r="Z688" i="1" s="1"/>
  <c r="Y687" i="1"/>
  <c r="Z687" i="1" s="1"/>
  <c r="Y686" i="1"/>
  <c r="Z686" i="1" s="1"/>
  <c r="Y685" i="1"/>
  <c r="Z685" i="1" s="1"/>
  <c r="Y23" i="1"/>
  <c r="Z23" i="1" s="1"/>
  <c r="Y684" i="1"/>
  <c r="Z684" i="1" s="1"/>
  <c r="Y683" i="1"/>
  <c r="Z683" i="1" s="1"/>
  <c r="AB682" i="1"/>
  <c r="AC682" i="1" s="1"/>
  <c r="Y682" i="1"/>
  <c r="Z682" i="1" s="1"/>
  <c r="S691" i="1"/>
  <c r="AI691" i="1" s="1"/>
  <c r="U691" i="1"/>
  <c r="V691" i="1"/>
  <c r="W691" i="1"/>
  <c r="S690" i="1"/>
  <c r="AI690" i="1" s="1"/>
  <c r="U690" i="1"/>
  <c r="V690" i="1"/>
  <c r="W690" i="1"/>
  <c r="S689" i="1"/>
  <c r="AI689" i="1" s="1"/>
  <c r="U689" i="1"/>
  <c r="V689" i="1"/>
  <c r="W689" i="1"/>
  <c r="S688" i="1"/>
  <c r="AI688" i="1" s="1"/>
  <c r="U688" i="1"/>
  <c r="V688" i="1"/>
  <c r="W688" i="1"/>
  <c r="S687" i="1"/>
  <c r="AI687" i="1" s="1"/>
  <c r="U687" i="1"/>
  <c r="V687" i="1"/>
  <c r="W687" i="1"/>
  <c r="S686" i="1"/>
  <c r="AI686" i="1" s="1"/>
  <c r="U686" i="1"/>
  <c r="V686" i="1"/>
  <c r="W686" i="1"/>
  <c r="S685" i="1"/>
  <c r="AI685" i="1" s="1"/>
  <c r="U685" i="1"/>
  <c r="V685" i="1"/>
  <c r="W685" i="1"/>
  <c r="S23" i="1"/>
  <c r="AI23" i="1" s="1"/>
  <c r="U23" i="1"/>
  <c r="V23" i="1"/>
  <c r="W23" i="1"/>
  <c r="S684" i="1"/>
  <c r="AI684" i="1" s="1"/>
  <c r="U684" i="1"/>
  <c r="V684" i="1"/>
  <c r="W684" i="1"/>
  <c r="S683" i="1"/>
  <c r="AI683" i="1" s="1"/>
  <c r="U683" i="1"/>
  <c r="V683" i="1"/>
  <c r="W683" i="1"/>
  <c r="S682" i="1"/>
  <c r="AI682" i="1" s="1"/>
  <c r="U682" i="1"/>
  <c r="V682" i="1"/>
  <c r="W682" i="1"/>
  <c r="AD687" i="1" l="1"/>
  <c r="AF687" i="1" s="1"/>
  <c r="AD686" i="1"/>
  <c r="AF686" i="1" s="1"/>
  <c r="AD685" i="1"/>
  <c r="AF685" i="1" s="1"/>
  <c r="AD23" i="1"/>
  <c r="AF23" i="1" s="1"/>
  <c r="AD683" i="1"/>
  <c r="AF683" i="1" s="1"/>
  <c r="AD682" i="1"/>
  <c r="AF682" i="1" s="1"/>
  <c r="AD691" i="1"/>
  <c r="AF691" i="1" s="1"/>
  <c r="AE685" i="1"/>
  <c r="AD690" i="1"/>
  <c r="AF690" i="1" s="1"/>
  <c r="AD689" i="1"/>
  <c r="AF689" i="1" s="1"/>
  <c r="AD688" i="1"/>
  <c r="AF688" i="1" s="1"/>
  <c r="AD684" i="1"/>
  <c r="AF684" i="1" s="1"/>
  <c r="AE23" i="1"/>
  <c r="AE688" i="1"/>
  <c r="AE689" i="1"/>
  <c r="AE690" i="1"/>
  <c r="AE691" i="1"/>
  <c r="AE684" i="1"/>
  <c r="AE686" i="1"/>
  <c r="AE687" i="1"/>
  <c r="AE683" i="1"/>
  <c r="AE682" i="1"/>
  <c r="AB680" i="1" l="1"/>
  <c r="AC680" i="1" s="1"/>
  <c r="Y680" i="1"/>
  <c r="Z680" i="1" s="1"/>
  <c r="S680" i="1"/>
  <c r="AI680" i="1" s="1"/>
  <c r="U680" i="1"/>
  <c r="V680" i="1"/>
  <c r="W680" i="1"/>
  <c r="AD680" i="1" l="1"/>
  <c r="AF680" i="1" s="1"/>
  <c r="AE680" i="1"/>
  <c r="AB679" i="1" l="1"/>
  <c r="AC679" i="1" s="1"/>
  <c r="Y679" i="1"/>
  <c r="Z679" i="1" s="1"/>
  <c r="S679" i="1"/>
  <c r="AI679" i="1" s="1"/>
  <c r="U679" i="1"/>
  <c r="V679" i="1"/>
  <c r="W679" i="1"/>
  <c r="AB678" i="1"/>
  <c r="AC678" i="1" s="1"/>
  <c r="Y678" i="1"/>
  <c r="Z678" i="1" s="1"/>
  <c r="S678" i="1"/>
  <c r="AI678" i="1" s="1"/>
  <c r="U678" i="1"/>
  <c r="V678" i="1"/>
  <c r="W678" i="1"/>
  <c r="AB677" i="1"/>
  <c r="AC677" i="1" s="1"/>
  <c r="Y677" i="1"/>
  <c r="Z677" i="1" s="1"/>
  <c r="S677" i="1"/>
  <c r="AI677" i="1" s="1"/>
  <c r="U677" i="1"/>
  <c r="V677" i="1"/>
  <c r="W677" i="1"/>
  <c r="U99" i="1"/>
  <c r="AB676" i="1"/>
  <c r="Y676" i="1"/>
  <c r="AD679" i="1" l="1"/>
  <c r="AF679" i="1" s="1"/>
  <c r="AE679" i="1"/>
  <c r="AD678" i="1"/>
  <c r="AF678" i="1" s="1"/>
  <c r="AE678" i="1"/>
  <c r="AD677" i="1"/>
  <c r="AF677" i="1" s="1"/>
  <c r="AE677" i="1"/>
  <c r="S676" i="1"/>
  <c r="AI676" i="1" s="1"/>
  <c r="U676" i="1"/>
  <c r="V676" i="1"/>
  <c r="W676" i="1"/>
  <c r="Z676" i="1"/>
  <c r="AC676" i="1"/>
  <c r="AB675" i="1"/>
  <c r="AC675" i="1" s="1"/>
  <c r="Y675" i="1"/>
  <c r="Z675" i="1" s="1"/>
  <c r="S675" i="1"/>
  <c r="AI675" i="1" s="1"/>
  <c r="U675" i="1"/>
  <c r="V675" i="1"/>
  <c r="W675" i="1"/>
  <c r="AD676" i="1" l="1"/>
  <c r="AF676" i="1" s="1"/>
  <c r="AE676" i="1"/>
  <c r="AD675" i="1"/>
  <c r="AF675" i="1" s="1"/>
  <c r="AE675" i="1"/>
  <c r="AB674" i="1"/>
  <c r="AC674" i="1" s="1"/>
  <c r="Y674" i="1"/>
  <c r="Z674" i="1" s="1"/>
  <c r="AB673" i="1"/>
  <c r="AC673" i="1" s="1"/>
  <c r="Y673" i="1"/>
  <c r="Z673" i="1" s="1"/>
  <c r="AB672" i="1"/>
  <c r="AC672" i="1" s="1"/>
  <c r="Y672" i="1"/>
  <c r="Z672" i="1" s="1"/>
  <c r="S674" i="1"/>
  <c r="AI674" i="1" s="1"/>
  <c r="U674" i="1"/>
  <c r="V674" i="1"/>
  <c r="W674" i="1"/>
  <c r="S673" i="1"/>
  <c r="AI673" i="1" s="1"/>
  <c r="U673" i="1"/>
  <c r="V673" i="1"/>
  <c r="W673" i="1"/>
  <c r="S672" i="1"/>
  <c r="AI672" i="1" s="1"/>
  <c r="U672" i="1"/>
  <c r="V672" i="1"/>
  <c r="W672" i="1"/>
  <c r="AB671" i="1"/>
  <c r="AC671" i="1" s="1"/>
  <c r="AB670" i="1"/>
  <c r="AC670" i="1" s="1"/>
  <c r="AB669" i="1"/>
  <c r="AC669" i="1" s="1"/>
  <c r="AB668" i="1"/>
  <c r="AC668" i="1" s="1"/>
  <c r="Y671" i="1"/>
  <c r="Z671" i="1" s="1"/>
  <c r="Y670" i="1"/>
  <c r="Z670" i="1" s="1"/>
  <c r="Y669" i="1"/>
  <c r="Z669" i="1" s="1"/>
  <c r="Y668" i="1"/>
  <c r="Z668" i="1" s="1"/>
  <c r="S671" i="1"/>
  <c r="AI671" i="1" s="1"/>
  <c r="U671" i="1"/>
  <c r="V671" i="1"/>
  <c r="W671" i="1"/>
  <c r="S670" i="1"/>
  <c r="AI670" i="1" s="1"/>
  <c r="U670" i="1"/>
  <c r="V670" i="1"/>
  <c r="W670" i="1"/>
  <c r="S669" i="1"/>
  <c r="AI669" i="1" s="1"/>
  <c r="U669" i="1"/>
  <c r="V669" i="1"/>
  <c r="W669" i="1"/>
  <c r="S668" i="1"/>
  <c r="AI668" i="1" s="1"/>
  <c r="U668" i="1"/>
  <c r="V668" i="1"/>
  <c r="W668" i="1"/>
  <c r="AE672" i="1" l="1"/>
  <c r="AE674" i="1"/>
  <c r="AE673" i="1"/>
  <c r="AD674" i="1"/>
  <c r="AF674" i="1" s="1"/>
  <c r="AD673" i="1"/>
  <c r="AF673" i="1" s="1"/>
  <c r="AD672" i="1"/>
  <c r="AF672" i="1" s="1"/>
  <c r="AE668" i="1"/>
  <c r="AE670" i="1"/>
  <c r="AE671" i="1"/>
  <c r="AD669" i="1"/>
  <c r="AF669" i="1" s="1"/>
  <c r="AD670" i="1"/>
  <c r="AF670" i="1" s="1"/>
  <c r="AD671" i="1"/>
  <c r="AF671" i="1" s="1"/>
  <c r="AD668" i="1"/>
  <c r="AF668" i="1" s="1"/>
  <c r="AE669" i="1"/>
  <c r="AB667" i="1" l="1"/>
  <c r="AC667" i="1" s="1"/>
  <c r="AB666" i="1"/>
  <c r="AC666" i="1" s="1"/>
  <c r="AB22" i="1"/>
  <c r="AC22" i="1" s="1"/>
  <c r="Y667" i="1"/>
  <c r="Z667" i="1" s="1"/>
  <c r="Y666" i="1"/>
  <c r="Z666" i="1" s="1"/>
  <c r="Y22" i="1"/>
  <c r="Z22" i="1" s="1"/>
  <c r="S667" i="1"/>
  <c r="AI667" i="1" s="1"/>
  <c r="U667" i="1"/>
  <c r="V667" i="1"/>
  <c r="W667" i="1"/>
  <c r="S666" i="1"/>
  <c r="AI666" i="1" s="1"/>
  <c r="U666" i="1"/>
  <c r="V666" i="1"/>
  <c r="W666" i="1"/>
  <c r="S22" i="1"/>
  <c r="AI22" i="1" s="1"/>
  <c r="U22" i="1"/>
  <c r="V22" i="1"/>
  <c r="W22" i="1"/>
  <c r="AB665" i="1"/>
  <c r="AC665" i="1" s="1"/>
  <c r="Y665" i="1"/>
  <c r="Z665" i="1" s="1"/>
  <c r="AB664" i="1"/>
  <c r="AC664" i="1" s="1"/>
  <c r="Y664" i="1"/>
  <c r="Z664" i="1" s="1"/>
  <c r="AB663" i="1"/>
  <c r="AC663" i="1" s="1"/>
  <c r="Y663" i="1"/>
  <c r="Z663" i="1" s="1"/>
  <c r="S665" i="1"/>
  <c r="AI665" i="1" s="1"/>
  <c r="U665" i="1"/>
  <c r="V665" i="1"/>
  <c r="W665" i="1"/>
  <c r="S664" i="1"/>
  <c r="AI664" i="1" s="1"/>
  <c r="U664" i="1"/>
  <c r="V664" i="1"/>
  <c r="W664" i="1"/>
  <c r="U663" i="1"/>
  <c r="V663" i="1"/>
  <c r="W663" i="1"/>
  <c r="AB662" i="1"/>
  <c r="AC662" i="1" s="1"/>
  <c r="Y662" i="1"/>
  <c r="Z662" i="1" s="1"/>
  <c r="S662" i="1"/>
  <c r="AI662" i="1" s="1"/>
  <c r="U662" i="1"/>
  <c r="V662" i="1"/>
  <c r="W662" i="1"/>
  <c r="AB661" i="1"/>
  <c r="AC661" i="1" s="1"/>
  <c r="Y661" i="1"/>
  <c r="Z661" i="1" s="1"/>
  <c r="S661" i="1"/>
  <c r="AI661" i="1" s="1"/>
  <c r="U661" i="1"/>
  <c r="V661" i="1"/>
  <c r="W661" i="1"/>
  <c r="AB660" i="1"/>
  <c r="AC660" i="1" s="1"/>
  <c r="Y660" i="1"/>
  <c r="Z660" i="1" s="1"/>
  <c r="AB659" i="1"/>
  <c r="AC659" i="1" s="1"/>
  <c r="Y659" i="1"/>
  <c r="Z659" i="1" s="1"/>
  <c r="S660" i="1"/>
  <c r="AI660" i="1" s="1"/>
  <c r="U660" i="1"/>
  <c r="V660" i="1"/>
  <c r="W660" i="1"/>
  <c r="S659" i="1"/>
  <c r="AI659" i="1" s="1"/>
  <c r="U659" i="1"/>
  <c r="V659" i="1"/>
  <c r="W659" i="1"/>
  <c r="AB658" i="1"/>
  <c r="AC658" i="1" s="1"/>
  <c r="Y658" i="1"/>
  <c r="Z658" i="1" s="1"/>
  <c r="S658" i="1"/>
  <c r="AI658" i="1" s="1"/>
  <c r="U658" i="1"/>
  <c r="V658" i="1"/>
  <c r="W658" i="1"/>
  <c r="AB657" i="1"/>
  <c r="AC657" i="1" s="1"/>
  <c r="Y657" i="1"/>
  <c r="Z657" i="1" s="1"/>
  <c r="AB656" i="1"/>
  <c r="AC656" i="1" s="1"/>
  <c r="Y656" i="1"/>
  <c r="Z656" i="1" s="1"/>
  <c r="AB655" i="1"/>
  <c r="AC655" i="1" s="1"/>
  <c r="AB654" i="1"/>
  <c r="AC654" i="1" s="1"/>
  <c r="AB653" i="1"/>
  <c r="AC653" i="1" s="1"/>
  <c r="AB652" i="1"/>
  <c r="AC652" i="1" s="1"/>
  <c r="AB651" i="1"/>
  <c r="AC651" i="1" s="1"/>
  <c r="Y655" i="1"/>
  <c r="Z655" i="1" s="1"/>
  <c r="Y654" i="1"/>
  <c r="Z654" i="1" s="1"/>
  <c r="Y653" i="1"/>
  <c r="Z653" i="1" s="1"/>
  <c r="Y652" i="1"/>
  <c r="Z652" i="1" s="1"/>
  <c r="Y651" i="1"/>
  <c r="Z651" i="1" s="1"/>
  <c r="AB650" i="1"/>
  <c r="AC650" i="1" s="1"/>
  <c r="Y650" i="1"/>
  <c r="Z650" i="1" s="1"/>
  <c r="AB649" i="1"/>
  <c r="AC649" i="1" s="1"/>
  <c r="Y649" i="1"/>
  <c r="Z649" i="1" s="1"/>
  <c r="S657" i="1"/>
  <c r="AI657" i="1" s="1"/>
  <c r="U657" i="1"/>
  <c r="V657" i="1"/>
  <c r="W657" i="1"/>
  <c r="S656" i="1"/>
  <c r="AI656" i="1" s="1"/>
  <c r="U656" i="1"/>
  <c r="V656" i="1"/>
  <c r="W656" i="1"/>
  <c r="S655" i="1"/>
  <c r="AI655" i="1" s="1"/>
  <c r="U655" i="1"/>
  <c r="V655" i="1"/>
  <c r="W655" i="1"/>
  <c r="S654" i="1"/>
  <c r="AI654" i="1" s="1"/>
  <c r="U654" i="1"/>
  <c r="V654" i="1"/>
  <c r="W654" i="1"/>
  <c r="S653" i="1"/>
  <c r="AI653" i="1" s="1"/>
  <c r="U653" i="1"/>
  <c r="V653" i="1"/>
  <c r="W653" i="1"/>
  <c r="S652" i="1"/>
  <c r="AI652" i="1" s="1"/>
  <c r="U652" i="1"/>
  <c r="V652" i="1"/>
  <c r="W652" i="1"/>
  <c r="S651" i="1"/>
  <c r="AI651" i="1" s="1"/>
  <c r="U651" i="1"/>
  <c r="V651" i="1"/>
  <c r="W651" i="1"/>
  <c r="S650" i="1"/>
  <c r="AI650" i="1" s="1"/>
  <c r="U650" i="1"/>
  <c r="V650" i="1"/>
  <c r="W650" i="1"/>
  <c r="S649" i="1"/>
  <c r="AI649" i="1" s="1"/>
  <c r="U649" i="1"/>
  <c r="V649" i="1"/>
  <c r="W649" i="1"/>
  <c r="AB648" i="1"/>
  <c r="AC648" i="1" s="1"/>
  <c r="Y648" i="1"/>
  <c r="Z648" i="1" s="1"/>
  <c r="S648" i="1"/>
  <c r="AI648" i="1" s="1"/>
  <c r="U648" i="1"/>
  <c r="V648" i="1"/>
  <c r="W648" i="1"/>
  <c r="AB647" i="1"/>
  <c r="AC647" i="1" s="1"/>
  <c r="Y647" i="1"/>
  <c r="Z647" i="1" s="1"/>
  <c r="S647" i="1"/>
  <c r="AI647" i="1" s="1"/>
  <c r="U647" i="1"/>
  <c r="V647" i="1"/>
  <c r="W647" i="1"/>
  <c r="AB646" i="1"/>
  <c r="AC646" i="1" s="1"/>
  <c r="Y646" i="1"/>
  <c r="Z646" i="1" s="1"/>
  <c r="S646" i="1"/>
  <c r="AI646" i="1" s="1"/>
  <c r="U646" i="1"/>
  <c r="V646" i="1"/>
  <c r="W646" i="1"/>
  <c r="AB645" i="1"/>
  <c r="AC645" i="1" s="1"/>
  <c r="Y645" i="1"/>
  <c r="Z645" i="1" s="1"/>
  <c r="S645" i="1"/>
  <c r="AI645" i="1" s="1"/>
  <c r="U645" i="1"/>
  <c r="V645" i="1"/>
  <c r="W645" i="1"/>
  <c r="AB644" i="1"/>
  <c r="AC644" i="1" s="1"/>
  <c r="Y644" i="1"/>
  <c r="Z644" i="1" s="1"/>
  <c r="S644" i="1"/>
  <c r="AI644" i="1" s="1"/>
  <c r="U644" i="1"/>
  <c r="V644" i="1"/>
  <c r="W644" i="1"/>
  <c r="AB643" i="1"/>
  <c r="AC643" i="1" s="1"/>
  <c r="Y643" i="1"/>
  <c r="Z643" i="1" s="1"/>
  <c r="J119" i="1"/>
  <c r="J118" i="1"/>
  <c r="J107" i="1"/>
  <c r="J106" i="1"/>
  <c r="J125" i="1"/>
  <c r="AB21" i="1"/>
  <c r="AC21" i="1" s="1"/>
  <c r="Y21" i="1"/>
  <c r="Z21" i="1" s="1"/>
  <c r="J121" i="1"/>
  <c r="AB642" i="1"/>
  <c r="AC642" i="1" s="1"/>
  <c r="Y642" i="1"/>
  <c r="Z642" i="1" s="1"/>
  <c r="S643" i="1"/>
  <c r="AI643" i="1" s="1"/>
  <c r="U643" i="1"/>
  <c r="V643" i="1"/>
  <c r="W643" i="1"/>
  <c r="S21" i="1"/>
  <c r="AI21" i="1" s="1"/>
  <c r="U21" i="1"/>
  <c r="V21" i="1"/>
  <c r="W21" i="1"/>
  <c r="S642" i="1"/>
  <c r="AI642" i="1" s="1"/>
  <c r="U642" i="1"/>
  <c r="V642" i="1"/>
  <c r="W642" i="1"/>
  <c r="AB641" i="1"/>
  <c r="AC641" i="1" s="1"/>
  <c r="Y641" i="1"/>
  <c r="Z641" i="1" s="1"/>
  <c r="AB640" i="1"/>
  <c r="AC640" i="1" s="1"/>
  <c r="Y640" i="1"/>
  <c r="Z640" i="1" s="1"/>
  <c r="S641" i="1"/>
  <c r="AI641" i="1" s="1"/>
  <c r="U641" i="1"/>
  <c r="V641" i="1"/>
  <c r="W641" i="1"/>
  <c r="S640" i="1"/>
  <c r="AI640" i="1" s="1"/>
  <c r="U640" i="1"/>
  <c r="V640" i="1"/>
  <c r="W640" i="1"/>
  <c r="AB639" i="1"/>
  <c r="AC639" i="1" s="1"/>
  <c r="Y639" i="1"/>
  <c r="Z639" i="1" s="1"/>
  <c r="AB638" i="1"/>
  <c r="AC638" i="1" s="1"/>
  <c r="Y638" i="1"/>
  <c r="Z638" i="1" s="1"/>
  <c r="S639" i="1"/>
  <c r="AI639" i="1" s="1"/>
  <c r="U639" i="1"/>
  <c r="V639" i="1"/>
  <c r="W639" i="1"/>
  <c r="S638" i="1"/>
  <c r="AI638" i="1" s="1"/>
  <c r="U638" i="1"/>
  <c r="V638" i="1"/>
  <c r="W638" i="1"/>
  <c r="AB637" i="1"/>
  <c r="AC637" i="1" s="1"/>
  <c r="Y637" i="1"/>
  <c r="Z637" i="1" s="1"/>
  <c r="S637" i="1"/>
  <c r="AI637" i="1" s="1"/>
  <c r="U637" i="1"/>
  <c r="V637" i="1"/>
  <c r="W637" i="1"/>
  <c r="AB636" i="1"/>
  <c r="AC636" i="1" s="1"/>
  <c r="Y636" i="1"/>
  <c r="Z636" i="1" s="1"/>
  <c r="AB635" i="1"/>
  <c r="AC635" i="1" s="1"/>
  <c r="Y635" i="1"/>
  <c r="Z635" i="1" s="1"/>
  <c r="S636" i="1"/>
  <c r="AI636" i="1" s="1"/>
  <c r="U636" i="1"/>
  <c r="V636" i="1"/>
  <c r="W636" i="1"/>
  <c r="S635" i="1"/>
  <c r="AI635" i="1" s="1"/>
  <c r="U635" i="1"/>
  <c r="V635" i="1"/>
  <c r="W635" i="1"/>
  <c r="AB634" i="1"/>
  <c r="AC634" i="1" s="1"/>
  <c r="Y634" i="1"/>
  <c r="Z634" i="1" s="1"/>
  <c r="AB633" i="1"/>
  <c r="AC633" i="1" s="1"/>
  <c r="Y633" i="1"/>
  <c r="Z633" i="1" s="1"/>
  <c r="S634" i="1"/>
  <c r="AI634" i="1" s="1"/>
  <c r="U634" i="1"/>
  <c r="V634" i="1"/>
  <c r="W634" i="1"/>
  <c r="S633" i="1"/>
  <c r="AI633" i="1" s="1"/>
  <c r="U633" i="1"/>
  <c r="V633" i="1"/>
  <c r="W633" i="1"/>
  <c r="AB632" i="1"/>
  <c r="AC632" i="1" s="1"/>
  <c r="Y632" i="1"/>
  <c r="Z632" i="1" s="1"/>
  <c r="AB631" i="1"/>
  <c r="AC631" i="1" s="1"/>
  <c r="Y631" i="1"/>
  <c r="Z631" i="1" s="1"/>
  <c r="S631" i="1"/>
  <c r="AI631" i="1" s="1"/>
  <c r="S632" i="1"/>
  <c r="AI632" i="1" s="1"/>
  <c r="U631" i="1"/>
  <c r="U632" i="1"/>
  <c r="V631" i="1"/>
  <c r="V632" i="1"/>
  <c r="W631" i="1"/>
  <c r="W632" i="1"/>
  <c r="AB630" i="1"/>
  <c r="AC630" i="1" s="1"/>
  <c r="Y630" i="1"/>
  <c r="Z630" i="1" s="1"/>
  <c r="S630" i="1"/>
  <c r="AI630" i="1" s="1"/>
  <c r="U630" i="1"/>
  <c r="V630" i="1"/>
  <c r="W630" i="1"/>
  <c r="AB629" i="1"/>
  <c r="AC629" i="1" s="1"/>
  <c r="Y629" i="1"/>
  <c r="Z629" i="1" s="1"/>
  <c r="S629" i="1"/>
  <c r="AI629" i="1" s="1"/>
  <c r="U629" i="1"/>
  <c r="V629" i="1"/>
  <c r="W629" i="1"/>
  <c r="AB628" i="1"/>
  <c r="AC628" i="1" s="1"/>
  <c r="Y628" i="1"/>
  <c r="Z628" i="1" s="1"/>
  <c r="S628" i="1"/>
  <c r="AI628" i="1" s="1"/>
  <c r="U628" i="1"/>
  <c r="V628" i="1"/>
  <c r="W628" i="1"/>
  <c r="AB627" i="1"/>
  <c r="AC627" i="1" s="1"/>
  <c r="Y627" i="1"/>
  <c r="Z627" i="1" s="1"/>
  <c r="S627" i="1"/>
  <c r="AI627" i="1" s="1"/>
  <c r="U627" i="1"/>
  <c r="V627" i="1"/>
  <c r="W627" i="1"/>
  <c r="AB626" i="1"/>
  <c r="AC626" i="1" s="1"/>
  <c r="Y626" i="1"/>
  <c r="Z626" i="1" s="1"/>
  <c r="AB625" i="1"/>
  <c r="AC625" i="1" s="1"/>
  <c r="Y625" i="1"/>
  <c r="Z625" i="1" s="1"/>
  <c r="AB624" i="1"/>
  <c r="AC624" i="1" s="1"/>
  <c r="Y624" i="1"/>
  <c r="Z624" i="1" s="1"/>
  <c r="S626" i="1"/>
  <c r="AI626" i="1" s="1"/>
  <c r="U626" i="1"/>
  <c r="V626" i="1"/>
  <c r="W626" i="1"/>
  <c r="S625" i="1"/>
  <c r="AI625" i="1" s="1"/>
  <c r="U625" i="1"/>
  <c r="V625" i="1"/>
  <c r="W625" i="1"/>
  <c r="S624" i="1"/>
  <c r="AI624" i="1" s="1"/>
  <c r="U624" i="1"/>
  <c r="V624" i="1"/>
  <c r="W624" i="1"/>
  <c r="AB623" i="1"/>
  <c r="AC623" i="1" s="1"/>
  <c r="Y623" i="1"/>
  <c r="Z623" i="1" s="1"/>
  <c r="AB622" i="1"/>
  <c r="AC622" i="1" s="1"/>
  <c r="Y622" i="1"/>
  <c r="Z622" i="1" s="1"/>
  <c r="S623" i="1"/>
  <c r="AI623" i="1" s="1"/>
  <c r="U623" i="1"/>
  <c r="V623" i="1"/>
  <c r="W623" i="1"/>
  <c r="S622" i="1"/>
  <c r="AI622" i="1" s="1"/>
  <c r="U622" i="1"/>
  <c r="V622" i="1"/>
  <c r="W622" i="1"/>
  <c r="AB621" i="1"/>
  <c r="AC621" i="1" s="1"/>
  <c r="Y621" i="1"/>
  <c r="Z621" i="1" s="1"/>
  <c r="S621" i="1"/>
  <c r="AI621" i="1" s="1"/>
  <c r="U621" i="1"/>
  <c r="V621" i="1"/>
  <c r="W621" i="1"/>
  <c r="AB620" i="1"/>
  <c r="AC620" i="1" s="1"/>
  <c r="Y620" i="1"/>
  <c r="Z620" i="1" s="1"/>
  <c r="S620" i="1"/>
  <c r="AI620" i="1" s="1"/>
  <c r="U620" i="1"/>
  <c r="V620" i="1"/>
  <c r="W620" i="1"/>
  <c r="AB619" i="1"/>
  <c r="AC619" i="1" s="1"/>
  <c r="Y619" i="1"/>
  <c r="Z619" i="1" s="1"/>
  <c r="AB618" i="1"/>
  <c r="AC618" i="1" s="1"/>
  <c r="Y618" i="1"/>
  <c r="Z618" i="1" s="1"/>
  <c r="AB617" i="1"/>
  <c r="AC617" i="1" s="1"/>
  <c r="Y617" i="1"/>
  <c r="Z617" i="1" s="1"/>
  <c r="AB616" i="1"/>
  <c r="AC616" i="1" s="1"/>
  <c r="Y616" i="1"/>
  <c r="Z616" i="1" s="1"/>
  <c r="AB615" i="1"/>
  <c r="AC615" i="1" s="1"/>
  <c r="Y615" i="1"/>
  <c r="Z615" i="1" s="1"/>
  <c r="AB614" i="1"/>
  <c r="AC614" i="1" s="1"/>
  <c r="Y614" i="1"/>
  <c r="Z614" i="1" s="1"/>
  <c r="AB613" i="1"/>
  <c r="AC613" i="1" s="1"/>
  <c r="Y613" i="1"/>
  <c r="Z613" i="1" s="1"/>
  <c r="S614" i="1"/>
  <c r="AI614" i="1" s="1"/>
  <c r="S615" i="1"/>
  <c r="AI615" i="1" s="1"/>
  <c r="S616" i="1"/>
  <c r="AI616" i="1" s="1"/>
  <c r="S617" i="1"/>
  <c r="AI617" i="1" s="1"/>
  <c r="S618" i="1"/>
  <c r="AI618" i="1" s="1"/>
  <c r="S619" i="1"/>
  <c r="AI619" i="1" s="1"/>
  <c r="U614" i="1"/>
  <c r="U615" i="1"/>
  <c r="U616" i="1"/>
  <c r="U617" i="1"/>
  <c r="U618" i="1"/>
  <c r="U619" i="1"/>
  <c r="V614" i="1"/>
  <c r="V615" i="1"/>
  <c r="V616" i="1"/>
  <c r="V617" i="1"/>
  <c r="V618" i="1"/>
  <c r="V619" i="1"/>
  <c r="W614" i="1"/>
  <c r="W615" i="1"/>
  <c r="W616" i="1"/>
  <c r="W617" i="1"/>
  <c r="W618" i="1"/>
  <c r="W619" i="1"/>
  <c r="S613" i="1"/>
  <c r="AI613" i="1" s="1"/>
  <c r="U613" i="1"/>
  <c r="V613" i="1"/>
  <c r="W613" i="1"/>
  <c r="Y612" i="1"/>
  <c r="Z612" i="1" s="1"/>
  <c r="AB612" i="1"/>
  <c r="AC612" i="1" s="1"/>
  <c r="S612" i="1"/>
  <c r="AI612" i="1" s="1"/>
  <c r="U612" i="1"/>
  <c r="V612" i="1"/>
  <c r="W612" i="1"/>
  <c r="AB611" i="1"/>
  <c r="AC611" i="1" s="1"/>
  <c r="Y611" i="1"/>
  <c r="Z611" i="1" s="1"/>
  <c r="S611" i="1"/>
  <c r="AI611" i="1" s="1"/>
  <c r="U611" i="1"/>
  <c r="V611" i="1"/>
  <c r="W611" i="1"/>
  <c r="AB610" i="1"/>
  <c r="AC610" i="1" s="1"/>
  <c r="Y610" i="1"/>
  <c r="Z610" i="1" s="1"/>
  <c r="AB609" i="1"/>
  <c r="AC609" i="1" s="1"/>
  <c r="Y609" i="1"/>
  <c r="Z609" i="1" s="1"/>
  <c r="S610" i="1"/>
  <c r="AI610" i="1" s="1"/>
  <c r="U610" i="1"/>
  <c r="V610" i="1"/>
  <c r="W610" i="1"/>
  <c r="S609" i="1"/>
  <c r="AI609" i="1" s="1"/>
  <c r="U609" i="1"/>
  <c r="V609" i="1"/>
  <c r="W609" i="1"/>
  <c r="AB608" i="1"/>
  <c r="AC608" i="1" s="1"/>
  <c r="AB607" i="1"/>
  <c r="AC607" i="1" s="1"/>
  <c r="AB606" i="1"/>
  <c r="AC606" i="1" s="1"/>
  <c r="AB605" i="1"/>
  <c r="AC605" i="1" s="1"/>
  <c r="AB604" i="1"/>
  <c r="AC604" i="1" s="1"/>
  <c r="AB603" i="1"/>
  <c r="AC603" i="1" s="1"/>
  <c r="AB602" i="1"/>
  <c r="AC602" i="1" s="1"/>
  <c r="AB601" i="1"/>
  <c r="AC601" i="1" s="1"/>
  <c r="AB600" i="1"/>
  <c r="AC600" i="1" s="1"/>
  <c r="AB599" i="1"/>
  <c r="AC599" i="1" s="1"/>
  <c r="Y608" i="1"/>
  <c r="Z608" i="1" s="1"/>
  <c r="Y607" i="1"/>
  <c r="Z607" i="1" s="1"/>
  <c r="Y606" i="1"/>
  <c r="Z606" i="1" s="1"/>
  <c r="Y605" i="1"/>
  <c r="Z605" i="1" s="1"/>
  <c r="Y604" i="1"/>
  <c r="Z604" i="1" s="1"/>
  <c r="Y603" i="1"/>
  <c r="Z603" i="1" s="1"/>
  <c r="Y602" i="1"/>
  <c r="Z602" i="1" s="1"/>
  <c r="Y601" i="1"/>
  <c r="Z601" i="1" s="1"/>
  <c r="Y600" i="1"/>
  <c r="Z600" i="1" s="1"/>
  <c r="Y599" i="1"/>
  <c r="Z599" i="1" s="1"/>
  <c r="S608" i="1"/>
  <c r="AI608" i="1" s="1"/>
  <c r="U608" i="1"/>
  <c r="V608" i="1"/>
  <c r="W608" i="1"/>
  <c r="S607" i="1"/>
  <c r="AI607" i="1" s="1"/>
  <c r="U607" i="1"/>
  <c r="V607" i="1"/>
  <c r="W607" i="1"/>
  <c r="S606" i="1"/>
  <c r="AI606" i="1" s="1"/>
  <c r="U606" i="1"/>
  <c r="V606" i="1"/>
  <c r="W606" i="1"/>
  <c r="S605" i="1"/>
  <c r="AI605" i="1" s="1"/>
  <c r="U605" i="1"/>
  <c r="V605" i="1"/>
  <c r="W605" i="1"/>
  <c r="S604" i="1"/>
  <c r="AI604" i="1" s="1"/>
  <c r="U604" i="1"/>
  <c r="V604" i="1"/>
  <c r="W604" i="1"/>
  <c r="S603" i="1"/>
  <c r="AI603" i="1" s="1"/>
  <c r="U603" i="1"/>
  <c r="V603" i="1"/>
  <c r="W603" i="1"/>
  <c r="S602" i="1"/>
  <c r="AI602" i="1" s="1"/>
  <c r="U602" i="1"/>
  <c r="V602" i="1"/>
  <c r="W602" i="1"/>
  <c r="S601" i="1"/>
  <c r="AI601" i="1" s="1"/>
  <c r="U601" i="1"/>
  <c r="V601" i="1"/>
  <c r="W601" i="1"/>
  <c r="S600" i="1"/>
  <c r="AI600" i="1" s="1"/>
  <c r="U600" i="1"/>
  <c r="V600" i="1"/>
  <c r="W600" i="1"/>
  <c r="S599" i="1"/>
  <c r="AI599" i="1" s="1"/>
  <c r="U599" i="1"/>
  <c r="V599" i="1"/>
  <c r="W599" i="1"/>
  <c r="AB598" i="1"/>
  <c r="AC598" i="1" s="1"/>
  <c r="AB597" i="1"/>
  <c r="AC597" i="1" s="1"/>
  <c r="Y598" i="1"/>
  <c r="Z598" i="1" s="1"/>
  <c r="Y597" i="1"/>
  <c r="Z597" i="1" s="1"/>
  <c r="S598" i="1"/>
  <c r="AI598" i="1" s="1"/>
  <c r="U598" i="1"/>
  <c r="V598" i="1"/>
  <c r="W598" i="1"/>
  <c r="S597" i="1"/>
  <c r="AI597" i="1" s="1"/>
  <c r="U597" i="1"/>
  <c r="V597" i="1"/>
  <c r="W597" i="1"/>
  <c r="Y398" i="1"/>
  <c r="Z398" i="1" s="1"/>
  <c r="AB596" i="1"/>
  <c r="AC596" i="1" s="1"/>
  <c r="AB595" i="1"/>
  <c r="AC595" i="1" s="1"/>
  <c r="Y596" i="1"/>
  <c r="Z596" i="1" s="1"/>
  <c r="Y595" i="1"/>
  <c r="Z595" i="1" s="1"/>
  <c r="S596" i="1"/>
  <c r="AI596" i="1" s="1"/>
  <c r="U596" i="1"/>
  <c r="V596" i="1"/>
  <c r="W596" i="1"/>
  <c r="S595" i="1"/>
  <c r="AI595" i="1" s="1"/>
  <c r="U595" i="1"/>
  <c r="V595" i="1"/>
  <c r="W595" i="1"/>
  <c r="Y594" i="1"/>
  <c r="Z594" i="1" s="1"/>
  <c r="AB594" i="1"/>
  <c r="AC594" i="1" s="1"/>
  <c r="Y593" i="1"/>
  <c r="Z593" i="1" s="1"/>
  <c r="AB593" i="1"/>
  <c r="AC593" i="1" s="1"/>
  <c r="S594" i="1"/>
  <c r="AI594" i="1" s="1"/>
  <c r="U594" i="1"/>
  <c r="V594" i="1"/>
  <c r="W594" i="1"/>
  <c r="S593" i="1"/>
  <c r="AI593" i="1" s="1"/>
  <c r="U593" i="1"/>
  <c r="V593" i="1"/>
  <c r="W593" i="1"/>
  <c r="Y592" i="1"/>
  <c r="Z592" i="1" s="1"/>
  <c r="AB592" i="1"/>
  <c r="AC592" i="1" s="1"/>
  <c r="Y591" i="1"/>
  <c r="Z591" i="1" s="1"/>
  <c r="AB591" i="1"/>
  <c r="AC591" i="1" s="1"/>
  <c r="Y590" i="1"/>
  <c r="Z590" i="1" s="1"/>
  <c r="AB590" i="1"/>
  <c r="AC590" i="1" s="1"/>
  <c r="Y589" i="1"/>
  <c r="Z589" i="1" s="1"/>
  <c r="AB589" i="1"/>
  <c r="AC589" i="1" s="1"/>
  <c r="Y588" i="1"/>
  <c r="Z588" i="1" s="1"/>
  <c r="AB588" i="1"/>
  <c r="AC588" i="1" s="1"/>
  <c r="S592" i="1"/>
  <c r="AI592" i="1" s="1"/>
  <c r="U592" i="1"/>
  <c r="V592" i="1"/>
  <c r="W592" i="1"/>
  <c r="S591" i="1"/>
  <c r="AI591" i="1" s="1"/>
  <c r="U591" i="1"/>
  <c r="V591" i="1"/>
  <c r="W591" i="1"/>
  <c r="S590" i="1"/>
  <c r="AI590" i="1" s="1"/>
  <c r="U590" i="1"/>
  <c r="V590" i="1"/>
  <c r="W590" i="1"/>
  <c r="S589" i="1"/>
  <c r="AI589" i="1" s="1"/>
  <c r="U589" i="1"/>
  <c r="V589" i="1"/>
  <c r="W589" i="1"/>
  <c r="S588" i="1"/>
  <c r="AI588" i="1" s="1"/>
  <c r="U588" i="1"/>
  <c r="V588" i="1"/>
  <c r="W588" i="1"/>
  <c r="AB587" i="1"/>
  <c r="AC587" i="1" s="1"/>
  <c r="Y587" i="1"/>
  <c r="Z587" i="1" s="1"/>
  <c r="S587" i="1"/>
  <c r="AI587" i="1" s="1"/>
  <c r="U587" i="1"/>
  <c r="V587" i="1"/>
  <c r="W587" i="1"/>
  <c r="AB586" i="1"/>
  <c r="AC586" i="1" s="1"/>
  <c r="Y586" i="1"/>
  <c r="Z586" i="1" s="1"/>
  <c r="S586" i="1"/>
  <c r="AI586" i="1" s="1"/>
  <c r="U586" i="1"/>
  <c r="V586" i="1"/>
  <c r="W586" i="1"/>
  <c r="AB585" i="1"/>
  <c r="AC585" i="1" s="1"/>
  <c r="Y585" i="1"/>
  <c r="Z585" i="1" s="1"/>
  <c r="S585" i="1"/>
  <c r="AI585" i="1" s="1"/>
  <c r="U585" i="1"/>
  <c r="V585" i="1"/>
  <c r="W585" i="1"/>
  <c r="AB584" i="1"/>
  <c r="AC584" i="1" s="1"/>
  <c r="AB583" i="1"/>
  <c r="AC583" i="1" s="1"/>
  <c r="Y584" i="1"/>
  <c r="Z584" i="1" s="1"/>
  <c r="Y583" i="1"/>
  <c r="Z583" i="1" s="1"/>
  <c r="S584" i="1"/>
  <c r="AI584" i="1" s="1"/>
  <c r="U584" i="1"/>
  <c r="V584" i="1"/>
  <c r="W584" i="1"/>
  <c r="S583" i="1"/>
  <c r="AI583" i="1" s="1"/>
  <c r="U583" i="1"/>
  <c r="V583" i="1"/>
  <c r="W583" i="1"/>
  <c r="AB582" i="1"/>
  <c r="AC582" i="1" s="1"/>
  <c r="AB581" i="1"/>
  <c r="AC581" i="1" s="1"/>
  <c r="AB580" i="1"/>
  <c r="AC580" i="1" s="1"/>
  <c r="AB579" i="1"/>
  <c r="AC579" i="1" s="1"/>
  <c r="AB578" i="1"/>
  <c r="AC578" i="1" s="1"/>
  <c r="AB577" i="1"/>
  <c r="AC577" i="1" s="1"/>
  <c r="AB576" i="1"/>
  <c r="AC576" i="1" s="1"/>
  <c r="AB575" i="1"/>
  <c r="AC575" i="1" s="1"/>
  <c r="AB574" i="1"/>
  <c r="AC574" i="1" s="1"/>
  <c r="AB573" i="1"/>
  <c r="AC573" i="1" s="1"/>
  <c r="AB572" i="1"/>
  <c r="AC572" i="1" s="1"/>
  <c r="AB571" i="1"/>
  <c r="AC571" i="1" s="1"/>
  <c r="AB570" i="1"/>
  <c r="AC570" i="1" s="1"/>
  <c r="AB569" i="1"/>
  <c r="AC569" i="1" s="1"/>
  <c r="AB568" i="1"/>
  <c r="AC568" i="1" s="1"/>
  <c r="AB567" i="1"/>
  <c r="AC567" i="1" s="1"/>
  <c r="AB566" i="1"/>
  <c r="AC566" i="1" s="1"/>
  <c r="AB565" i="1"/>
  <c r="AC565" i="1" s="1"/>
  <c r="AB564" i="1"/>
  <c r="AC564" i="1" s="1"/>
  <c r="AB563" i="1"/>
  <c r="AC563" i="1" s="1"/>
  <c r="AB562" i="1"/>
  <c r="AC562" i="1" s="1"/>
  <c r="AB561" i="1"/>
  <c r="AC561" i="1" s="1"/>
  <c r="AB560" i="1"/>
  <c r="AC560" i="1" s="1"/>
  <c r="AB559" i="1"/>
  <c r="AC559" i="1" s="1"/>
  <c r="AB558" i="1"/>
  <c r="AC558" i="1" s="1"/>
  <c r="AB557" i="1"/>
  <c r="AC557" i="1" s="1"/>
  <c r="AB556" i="1"/>
  <c r="AC556" i="1" s="1"/>
  <c r="AB555" i="1"/>
  <c r="AC555" i="1" s="1"/>
  <c r="AB554" i="1"/>
  <c r="AC554" i="1" s="1"/>
  <c r="Y582" i="1"/>
  <c r="Z582" i="1" s="1"/>
  <c r="Y581" i="1"/>
  <c r="Z581" i="1" s="1"/>
  <c r="Y580" i="1"/>
  <c r="Z580" i="1" s="1"/>
  <c r="Y579" i="1"/>
  <c r="Z579" i="1" s="1"/>
  <c r="Y578" i="1"/>
  <c r="Z578" i="1" s="1"/>
  <c r="Y577" i="1"/>
  <c r="Z577" i="1" s="1"/>
  <c r="Y576" i="1"/>
  <c r="Z576" i="1" s="1"/>
  <c r="Y575" i="1"/>
  <c r="Z575" i="1" s="1"/>
  <c r="Y574" i="1"/>
  <c r="Z574" i="1" s="1"/>
  <c r="Y573" i="1"/>
  <c r="Z573" i="1" s="1"/>
  <c r="Y572" i="1"/>
  <c r="Z572" i="1" s="1"/>
  <c r="Y571" i="1"/>
  <c r="Z571" i="1" s="1"/>
  <c r="Y570" i="1"/>
  <c r="Z570" i="1" s="1"/>
  <c r="Y569" i="1"/>
  <c r="Z569" i="1" s="1"/>
  <c r="Y568" i="1"/>
  <c r="Z568" i="1" s="1"/>
  <c r="Y567" i="1"/>
  <c r="Z567" i="1" s="1"/>
  <c r="Y566" i="1"/>
  <c r="Z566" i="1" s="1"/>
  <c r="Y565" i="1"/>
  <c r="Z565" i="1" s="1"/>
  <c r="Y564" i="1"/>
  <c r="Z564" i="1" s="1"/>
  <c r="Y563" i="1"/>
  <c r="Z563" i="1" s="1"/>
  <c r="Y562" i="1"/>
  <c r="Z562" i="1" s="1"/>
  <c r="Y561" i="1"/>
  <c r="Z561" i="1" s="1"/>
  <c r="Y560" i="1"/>
  <c r="Z560" i="1" s="1"/>
  <c r="Y559" i="1"/>
  <c r="Z559" i="1" s="1"/>
  <c r="Y558" i="1"/>
  <c r="Z558" i="1" s="1"/>
  <c r="Y557" i="1"/>
  <c r="Z557" i="1" s="1"/>
  <c r="Y556" i="1"/>
  <c r="Z556" i="1" s="1"/>
  <c r="Y555" i="1"/>
  <c r="Z555" i="1" s="1"/>
  <c r="Y554" i="1"/>
  <c r="Z554" i="1" s="1"/>
  <c r="S554" i="1"/>
  <c r="AI554" i="1" s="1"/>
  <c r="S555" i="1"/>
  <c r="AI555" i="1" s="1"/>
  <c r="S556" i="1"/>
  <c r="AI556" i="1" s="1"/>
  <c r="S557" i="1"/>
  <c r="AI557" i="1" s="1"/>
  <c r="S558" i="1"/>
  <c r="AI558" i="1" s="1"/>
  <c r="S559" i="1"/>
  <c r="AI559" i="1" s="1"/>
  <c r="S560" i="1"/>
  <c r="AI560" i="1" s="1"/>
  <c r="S561" i="1"/>
  <c r="AI561" i="1" s="1"/>
  <c r="S562" i="1"/>
  <c r="AI562" i="1" s="1"/>
  <c r="S563" i="1"/>
  <c r="AI563" i="1" s="1"/>
  <c r="S564" i="1"/>
  <c r="AI564" i="1" s="1"/>
  <c r="S565" i="1"/>
  <c r="AI565" i="1" s="1"/>
  <c r="S566" i="1"/>
  <c r="AI566" i="1" s="1"/>
  <c r="S567" i="1"/>
  <c r="AI567" i="1" s="1"/>
  <c r="S568" i="1"/>
  <c r="AI568" i="1" s="1"/>
  <c r="S569" i="1"/>
  <c r="AI569" i="1" s="1"/>
  <c r="S570" i="1"/>
  <c r="AI570" i="1" s="1"/>
  <c r="S571" i="1"/>
  <c r="AI571" i="1" s="1"/>
  <c r="S572" i="1"/>
  <c r="AI572" i="1" s="1"/>
  <c r="S573" i="1"/>
  <c r="AI573" i="1" s="1"/>
  <c r="S574" i="1"/>
  <c r="AI574" i="1" s="1"/>
  <c r="S575" i="1"/>
  <c r="AI575" i="1" s="1"/>
  <c r="S576" i="1"/>
  <c r="AI576" i="1" s="1"/>
  <c r="S577" i="1"/>
  <c r="AI577" i="1" s="1"/>
  <c r="S578" i="1"/>
  <c r="AI578" i="1" s="1"/>
  <c r="S579" i="1"/>
  <c r="AI579" i="1" s="1"/>
  <c r="S580" i="1"/>
  <c r="AI580" i="1" s="1"/>
  <c r="S581" i="1"/>
  <c r="AI581" i="1" s="1"/>
  <c r="S582" i="1"/>
  <c r="AI582" i="1" s="1"/>
  <c r="U554" i="1"/>
  <c r="U555" i="1"/>
  <c r="U556" i="1"/>
  <c r="U557" i="1"/>
  <c r="U558" i="1"/>
  <c r="U559" i="1"/>
  <c r="U560" i="1"/>
  <c r="U561" i="1"/>
  <c r="U562" i="1"/>
  <c r="U563" i="1"/>
  <c r="U564" i="1"/>
  <c r="U565" i="1"/>
  <c r="U566" i="1"/>
  <c r="U567" i="1"/>
  <c r="U568" i="1"/>
  <c r="U569" i="1"/>
  <c r="U570" i="1"/>
  <c r="U571" i="1"/>
  <c r="U572" i="1"/>
  <c r="U573" i="1"/>
  <c r="U574" i="1"/>
  <c r="U575" i="1"/>
  <c r="U576" i="1"/>
  <c r="U577" i="1"/>
  <c r="U578" i="1"/>
  <c r="U579" i="1"/>
  <c r="U580" i="1"/>
  <c r="U581" i="1"/>
  <c r="U582"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W554" i="1"/>
  <c r="W555" i="1"/>
  <c r="W556" i="1"/>
  <c r="W557" i="1"/>
  <c r="W558" i="1"/>
  <c r="W559" i="1"/>
  <c r="W560" i="1"/>
  <c r="W561" i="1"/>
  <c r="W562" i="1"/>
  <c r="W563" i="1"/>
  <c r="W564" i="1"/>
  <c r="W565" i="1"/>
  <c r="W566" i="1"/>
  <c r="W567" i="1"/>
  <c r="W568" i="1"/>
  <c r="W569" i="1"/>
  <c r="W570" i="1"/>
  <c r="W571" i="1"/>
  <c r="W572" i="1"/>
  <c r="W573" i="1"/>
  <c r="W574" i="1"/>
  <c r="W575" i="1"/>
  <c r="W576" i="1"/>
  <c r="W577" i="1"/>
  <c r="W578" i="1"/>
  <c r="W579" i="1"/>
  <c r="W580" i="1"/>
  <c r="W581" i="1"/>
  <c r="W582" i="1"/>
  <c r="AB20" i="1"/>
  <c r="AC20" i="1" s="1"/>
  <c r="AB553" i="1"/>
  <c r="AC553" i="1" s="1"/>
  <c r="AB552" i="1"/>
  <c r="AC552" i="1" s="1"/>
  <c r="AB551" i="1"/>
  <c r="AC551" i="1" s="1"/>
  <c r="AB550" i="1"/>
  <c r="AC550" i="1" s="1"/>
  <c r="AB549" i="1"/>
  <c r="AC549" i="1" s="1"/>
  <c r="AB548" i="1"/>
  <c r="AC548" i="1" s="1"/>
  <c r="Y548" i="1"/>
  <c r="Z548" i="1" s="1"/>
  <c r="AB547" i="1"/>
  <c r="AC547" i="1" s="1"/>
  <c r="AB546" i="1"/>
  <c r="AC546" i="1" s="1"/>
  <c r="AB545" i="1"/>
  <c r="AC545" i="1" s="1"/>
  <c r="AB544" i="1"/>
  <c r="AC544" i="1" s="1"/>
  <c r="AB543" i="1"/>
  <c r="AC543" i="1" s="1"/>
  <c r="AB542" i="1"/>
  <c r="AC542" i="1" s="1"/>
  <c r="AB541" i="1"/>
  <c r="AC541" i="1" s="1"/>
  <c r="Y541" i="1"/>
  <c r="Z541" i="1" s="1"/>
  <c r="AB540" i="1"/>
  <c r="AC540" i="1" s="1"/>
  <c r="AB539" i="1"/>
  <c r="AC539" i="1" s="1"/>
  <c r="AB538" i="1"/>
  <c r="AC538" i="1" s="1"/>
  <c r="AB537" i="1"/>
  <c r="AC537" i="1" s="1"/>
  <c r="AB536" i="1"/>
  <c r="AC536" i="1" s="1"/>
  <c r="AB535" i="1"/>
  <c r="AC535" i="1" s="1"/>
  <c r="AB534" i="1"/>
  <c r="AC534" i="1" s="1"/>
  <c r="AB533" i="1"/>
  <c r="AC533" i="1" s="1"/>
  <c r="AB532" i="1"/>
  <c r="AC532" i="1" s="1"/>
  <c r="Y20" i="1"/>
  <c r="Z20" i="1" s="1"/>
  <c r="Y553" i="1"/>
  <c r="Z553" i="1" s="1"/>
  <c r="Y552" i="1"/>
  <c r="Z552" i="1" s="1"/>
  <c r="Y551" i="1"/>
  <c r="Z551" i="1" s="1"/>
  <c r="Y550" i="1"/>
  <c r="Z550" i="1" s="1"/>
  <c r="Y549" i="1"/>
  <c r="Z549" i="1" s="1"/>
  <c r="Y547" i="1"/>
  <c r="Z547" i="1" s="1"/>
  <c r="Y546" i="1"/>
  <c r="Z546" i="1" s="1"/>
  <c r="Y545" i="1"/>
  <c r="Z545" i="1" s="1"/>
  <c r="Y544" i="1"/>
  <c r="Z544" i="1" s="1"/>
  <c r="Y543" i="1"/>
  <c r="Z543" i="1" s="1"/>
  <c r="Y542" i="1"/>
  <c r="Z542" i="1" s="1"/>
  <c r="Y540" i="1"/>
  <c r="Z540" i="1" s="1"/>
  <c r="Y539" i="1"/>
  <c r="Z539" i="1" s="1"/>
  <c r="Y538" i="1"/>
  <c r="Z538" i="1" s="1"/>
  <c r="Y537" i="1"/>
  <c r="Z537" i="1" s="1"/>
  <c r="Y536" i="1"/>
  <c r="Z536" i="1" s="1"/>
  <c r="Y535" i="1"/>
  <c r="Z535" i="1" s="1"/>
  <c r="Y534" i="1"/>
  <c r="Z534" i="1" s="1"/>
  <c r="Y533" i="1"/>
  <c r="Z533" i="1" s="1"/>
  <c r="Y532" i="1"/>
  <c r="Z532" i="1" s="1"/>
  <c r="S535" i="1"/>
  <c r="AI535" i="1" s="1"/>
  <c r="S536" i="1"/>
  <c r="AI536" i="1" s="1"/>
  <c r="S537" i="1"/>
  <c r="AI537" i="1" s="1"/>
  <c r="S538" i="1"/>
  <c r="AI538" i="1" s="1"/>
  <c r="S539" i="1"/>
  <c r="AI539" i="1" s="1"/>
  <c r="S540" i="1"/>
  <c r="AI540" i="1" s="1"/>
  <c r="S541" i="1"/>
  <c r="AI541" i="1" s="1"/>
  <c r="S542" i="1"/>
  <c r="AI542" i="1" s="1"/>
  <c r="S543" i="1"/>
  <c r="AI543" i="1" s="1"/>
  <c r="S544" i="1"/>
  <c r="AI544" i="1" s="1"/>
  <c r="S545" i="1"/>
  <c r="AI545" i="1" s="1"/>
  <c r="S546" i="1"/>
  <c r="AI546" i="1" s="1"/>
  <c r="S547" i="1"/>
  <c r="AI547" i="1" s="1"/>
  <c r="S548" i="1"/>
  <c r="AI548" i="1" s="1"/>
  <c r="S549" i="1"/>
  <c r="AI549" i="1" s="1"/>
  <c r="S550" i="1"/>
  <c r="AI550" i="1" s="1"/>
  <c r="S551" i="1"/>
  <c r="AI551" i="1" s="1"/>
  <c r="S552" i="1"/>
  <c r="AI552" i="1" s="1"/>
  <c r="S553" i="1"/>
  <c r="AI553" i="1" s="1"/>
  <c r="S20" i="1"/>
  <c r="AI20" i="1" s="1"/>
  <c r="U535" i="1"/>
  <c r="U536" i="1"/>
  <c r="U537" i="1"/>
  <c r="U538" i="1"/>
  <c r="U539" i="1"/>
  <c r="U540" i="1"/>
  <c r="U541" i="1"/>
  <c r="U542" i="1"/>
  <c r="U543" i="1"/>
  <c r="U544" i="1"/>
  <c r="U545" i="1"/>
  <c r="U546" i="1"/>
  <c r="U547" i="1"/>
  <c r="U548" i="1"/>
  <c r="U549" i="1"/>
  <c r="U550" i="1"/>
  <c r="U551" i="1"/>
  <c r="U552" i="1"/>
  <c r="U553" i="1"/>
  <c r="U20" i="1"/>
  <c r="V535" i="1"/>
  <c r="V536" i="1"/>
  <c r="V537" i="1"/>
  <c r="V538" i="1"/>
  <c r="V539" i="1"/>
  <c r="V540" i="1"/>
  <c r="V541" i="1"/>
  <c r="V542" i="1"/>
  <c r="V543" i="1"/>
  <c r="V544" i="1"/>
  <c r="V545" i="1"/>
  <c r="V546" i="1"/>
  <c r="V547" i="1"/>
  <c r="V548" i="1"/>
  <c r="V549" i="1"/>
  <c r="V550" i="1"/>
  <c r="V551" i="1"/>
  <c r="V552" i="1"/>
  <c r="V553" i="1"/>
  <c r="V20" i="1"/>
  <c r="W535" i="1"/>
  <c r="W536" i="1"/>
  <c r="W537" i="1"/>
  <c r="W538" i="1"/>
  <c r="W539" i="1"/>
  <c r="W540" i="1"/>
  <c r="W541" i="1"/>
  <c r="W542" i="1"/>
  <c r="W543" i="1"/>
  <c r="W544" i="1"/>
  <c r="W545" i="1"/>
  <c r="W546" i="1"/>
  <c r="W547" i="1"/>
  <c r="W548" i="1"/>
  <c r="W549" i="1"/>
  <c r="W550" i="1"/>
  <c r="W551" i="1"/>
  <c r="W552" i="1"/>
  <c r="W553" i="1"/>
  <c r="W20" i="1"/>
  <c r="S534" i="1"/>
  <c r="AI534" i="1" s="1"/>
  <c r="U534" i="1"/>
  <c r="V534" i="1"/>
  <c r="W534" i="1"/>
  <c r="S533" i="1"/>
  <c r="AI533" i="1" s="1"/>
  <c r="U533" i="1"/>
  <c r="V533" i="1"/>
  <c r="W533" i="1"/>
  <c r="S532" i="1"/>
  <c r="AI532" i="1" s="1"/>
  <c r="U532" i="1"/>
  <c r="V532" i="1"/>
  <c r="W532" i="1"/>
  <c r="AB298" i="1"/>
  <c r="AC298" i="1" s="1"/>
  <c r="AB297" i="1"/>
  <c r="AC297" i="1" s="1"/>
  <c r="AB296" i="1"/>
  <c r="AC296" i="1" s="1"/>
  <c r="AB295" i="1"/>
  <c r="AC295" i="1" s="1"/>
  <c r="AB294" i="1"/>
  <c r="AC294" i="1" s="1"/>
  <c r="AB293" i="1"/>
  <c r="AC293" i="1" s="1"/>
  <c r="AB292" i="1"/>
  <c r="AC292" i="1" s="1"/>
  <c r="AB17" i="1"/>
  <c r="AC17" i="1" s="1"/>
  <c r="AB291" i="1"/>
  <c r="AC291" i="1" s="1"/>
  <c r="AB289" i="1"/>
  <c r="AC289" i="1" s="1"/>
  <c r="AB287" i="1"/>
  <c r="AC287" i="1" s="1"/>
  <c r="AB16" i="1"/>
  <c r="AC16" i="1" s="1"/>
  <c r="AB286" i="1"/>
  <c r="AC286" i="1" s="1"/>
  <c r="AB285" i="1"/>
  <c r="AC285" i="1" s="1"/>
  <c r="AB15" i="1"/>
  <c r="AC15" i="1" s="1"/>
  <c r="AB284" i="1"/>
  <c r="AC284" i="1" s="1"/>
  <c r="AB283" i="1"/>
  <c r="AC283" i="1" s="1"/>
  <c r="AB282" i="1"/>
  <c r="AC282" i="1" s="1"/>
  <c r="AB281" i="1"/>
  <c r="AC281" i="1" s="1"/>
  <c r="AB280" i="1"/>
  <c r="AC280" i="1" s="1"/>
  <c r="AB279" i="1"/>
  <c r="AC279" i="1" s="1"/>
  <c r="AB278" i="1"/>
  <c r="AC278" i="1" s="1"/>
  <c r="AB277" i="1"/>
  <c r="AC277" i="1" s="1"/>
  <c r="AB276" i="1"/>
  <c r="AC276" i="1" s="1"/>
  <c r="AB275" i="1"/>
  <c r="AC275" i="1" s="1"/>
  <c r="AB274" i="1"/>
  <c r="AC274" i="1" s="1"/>
  <c r="AB273" i="1"/>
  <c r="AC273" i="1" s="1"/>
  <c r="AB272" i="1"/>
  <c r="AC272" i="1" s="1"/>
  <c r="AB271" i="1"/>
  <c r="AC271" i="1" s="1"/>
  <c r="AB270" i="1"/>
  <c r="AC270" i="1" s="1"/>
  <c r="AB269" i="1"/>
  <c r="AC269" i="1" s="1"/>
  <c r="AB268" i="1"/>
  <c r="AC268" i="1" s="1"/>
  <c r="AB267" i="1"/>
  <c r="AC267" i="1" s="1"/>
  <c r="AB266" i="1"/>
  <c r="AC266" i="1" s="1"/>
  <c r="AB265" i="1"/>
  <c r="AC265" i="1" s="1"/>
  <c r="AB264" i="1"/>
  <c r="AC264" i="1" s="1"/>
  <c r="AB263" i="1"/>
  <c r="AC263" i="1" s="1"/>
  <c r="AB262" i="1"/>
  <c r="AC262" i="1" s="1"/>
  <c r="AB261" i="1"/>
  <c r="AC261" i="1" s="1"/>
  <c r="AB260" i="1"/>
  <c r="AC260" i="1" s="1"/>
  <c r="AB259" i="1"/>
  <c r="AC259" i="1" s="1"/>
  <c r="AB258" i="1"/>
  <c r="AC258" i="1" s="1"/>
  <c r="AB257" i="1"/>
  <c r="AC257" i="1" s="1"/>
  <c r="AB256" i="1"/>
  <c r="AC256" i="1" s="1"/>
  <c r="AB255" i="1"/>
  <c r="AC255" i="1" s="1"/>
  <c r="AB254" i="1"/>
  <c r="AC254" i="1" s="1"/>
  <c r="AB253" i="1"/>
  <c r="AC253" i="1" s="1"/>
  <c r="AB252" i="1"/>
  <c r="AC252" i="1" s="1"/>
  <c r="AB251" i="1"/>
  <c r="AC251" i="1" s="1"/>
  <c r="AB250" i="1"/>
  <c r="AC250" i="1" s="1"/>
  <c r="AB249" i="1"/>
  <c r="AC249" i="1" s="1"/>
  <c r="AB248" i="1"/>
  <c r="AC248" i="1" s="1"/>
  <c r="AB507" i="1"/>
  <c r="AC507" i="1" s="1"/>
  <c r="AB506" i="1"/>
  <c r="AC506" i="1" s="1"/>
  <c r="AB505" i="1"/>
  <c r="AC505" i="1" s="1"/>
  <c r="AB504" i="1"/>
  <c r="AC504" i="1" s="1"/>
  <c r="AB485" i="1"/>
  <c r="AC485" i="1" s="1"/>
  <c r="AB195" i="1"/>
  <c r="AC195" i="1" s="1"/>
  <c r="AB194" i="1"/>
  <c r="AC194" i="1" s="1"/>
  <c r="AB193" i="1"/>
  <c r="AC193" i="1" s="1"/>
  <c r="AB192" i="1"/>
  <c r="AC192" i="1" s="1"/>
  <c r="AB191" i="1"/>
  <c r="AC191" i="1" s="1"/>
  <c r="AB190" i="1"/>
  <c r="AC190" i="1" s="1"/>
  <c r="AB189" i="1"/>
  <c r="AC189" i="1" s="1"/>
  <c r="AB188" i="1"/>
  <c r="AC188"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58" i="1"/>
  <c r="AC158" i="1" s="1"/>
  <c r="AB157" i="1"/>
  <c r="AC157" i="1" s="1"/>
  <c r="AB156" i="1"/>
  <c r="AC156" i="1" s="1"/>
  <c r="AB155" i="1"/>
  <c r="AC155" i="1" s="1"/>
  <c r="AB154" i="1"/>
  <c r="AC154" i="1" s="1"/>
  <c r="AB153" i="1"/>
  <c r="AC153" i="1" s="1"/>
  <c r="AB152" i="1"/>
  <c r="AC152"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06" i="1"/>
  <c r="AC106" i="1" s="1"/>
  <c r="AB105" i="1"/>
  <c r="AC105" i="1" s="1"/>
  <c r="AB104" i="1"/>
  <c r="AC104" i="1" s="1"/>
  <c r="AB103" i="1"/>
  <c r="AC103" i="1" s="1"/>
  <c r="AB102" i="1"/>
  <c r="AC102" i="1" s="1"/>
  <c r="AB101" i="1"/>
  <c r="AC101" i="1" s="1"/>
  <c r="AB100" i="1"/>
  <c r="AC100" i="1" s="1"/>
  <c r="AB12" i="1"/>
  <c r="AC12" i="1" s="1"/>
  <c r="AB531" i="1"/>
  <c r="AC531" i="1" s="1"/>
  <c r="AB530" i="1"/>
  <c r="AC530" i="1" s="1"/>
  <c r="AB529" i="1"/>
  <c r="AC529" i="1" s="1"/>
  <c r="AB528" i="1"/>
  <c r="AC528" i="1" s="1"/>
  <c r="AB527" i="1"/>
  <c r="AC527" i="1" s="1"/>
  <c r="AB526" i="1"/>
  <c r="AC526" i="1" s="1"/>
  <c r="AB498" i="1"/>
  <c r="AC498" i="1" s="1"/>
  <c r="AB497" i="1"/>
  <c r="AC497" i="1" s="1"/>
  <c r="AB496" i="1"/>
  <c r="AC496" i="1" s="1"/>
  <c r="AB495" i="1"/>
  <c r="AC495" i="1" s="1"/>
  <c r="AB494" i="1"/>
  <c r="AC494" i="1" s="1"/>
  <c r="AB525" i="1"/>
  <c r="AC525" i="1" s="1"/>
  <c r="AB493" i="1"/>
  <c r="AC493" i="1" s="1"/>
  <c r="AB512" i="1"/>
  <c r="AC512" i="1" s="1"/>
  <c r="AB492" i="1"/>
  <c r="AC492" i="1" s="1"/>
  <c r="AB516" i="1"/>
  <c r="AC516" i="1" s="1"/>
  <c r="AB491" i="1"/>
  <c r="AC491" i="1" s="1"/>
  <c r="AB481" i="1"/>
  <c r="AC481" i="1" s="1"/>
  <c r="AB480" i="1"/>
  <c r="AC480" i="1" s="1"/>
  <c r="AB490" i="1"/>
  <c r="AC490" i="1" s="1"/>
  <c r="AB479" i="1"/>
  <c r="AC479" i="1" s="1"/>
  <c r="AB478" i="1"/>
  <c r="AC478"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309" i="1"/>
  <c r="AC309" i="1" s="1"/>
  <c r="AB308" i="1"/>
  <c r="AC308" i="1" s="1"/>
  <c r="AB307" i="1"/>
  <c r="AC307" i="1" s="1"/>
  <c r="AB306" i="1"/>
  <c r="AC306" i="1" s="1"/>
  <c r="AB305" i="1"/>
  <c r="AC305" i="1" s="1"/>
  <c r="AB304" i="1"/>
  <c r="AC304" i="1" s="1"/>
  <c r="AB303" i="1"/>
  <c r="AC303" i="1" s="1"/>
  <c r="AB302" i="1"/>
  <c r="AC302" i="1" s="1"/>
  <c r="AB301" i="1"/>
  <c r="AC301" i="1" s="1"/>
  <c r="AB521" i="1"/>
  <c r="AC521" i="1" s="1"/>
  <c r="AB520" i="1"/>
  <c r="AC520" i="1" s="1"/>
  <c r="AB519" i="1"/>
  <c r="AC519" i="1" s="1"/>
  <c r="AB513" i="1"/>
  <c r="AC513" i="1" s="1"/>
  <c r="AB518" i="1"/>
  <c r="AC518" i="1" s="1"/>
  <c r="AB517" i="1"/>
  <c r="AC517" i="1" s="1"/>
  <c r="AB300" i="1"/>
  <c r="AC300" i="1" s="1"/>
  <c r="AB509" i="1"/>
  <c r="AC509" i="1" s="1"/>
  <c r="AB508" i="1"/>
  <c r="AC508" i="1" s="1"/>
  <c r="AB299" i="1"/>
  <c r="AC299" i="1" s="1"/>
  <c r="AB404" i="1"/>
  <c r="AC404" i="1" s="1"/>
  <c r="AB403" i="1"/>
  <c r="AC403" i="1" s="1"/>
  <c r="AB402" i="1"/>
  <c r="AC402" i="1" s="1"/>
  <c r="AB401" i="1"/>
  <c r="AC401" i="1" s="1"/>
  <c r="AB400" i="1"/>
  <c r="AC400" i="1" s="1"/>
  <c r="AB399" i="1"/>
  <c r="AC399" i="1" s="1"/>
  <c r="AB398" i="1"/>
  <c r="AC398" i="1" s="1"/>
  <c r="AB397" i="1"/>
  <c r="AC397" i="1" s="1"/>
  <c r="AB396" i="1"/>
  <c r="AC396" i="1" s="1"/>
  <c r="AB395" i="1"/>
  <c r="AC395" i="1" s="1"/>
  <c r="AB394" i="1"/>
  <c r="AC394" i="1" s="1"/>
  <c r="AB393" i="1"/>
  <c r="AC393"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18" i="1"/>
  <c r="AC18" i="1" s="1"/>
  <c r="AB354" i="1"/>
  <c r="AC354" i="1" s="1"/>
  <c r="AB353" i="1"/>
  <c r="AC353" i="1" s="1"/>
  <c r="AB352" i="1"/>
  <c r="AC352" i="1" s="1"/>
  <c r="AB351" i="1"/>
  <c r="AC351" i="1" s="1"/>
  <c r="AB350" i="1"/>
  <c r="AC350" i="1" s="1"/>
  <c r="AB349" i="1"/>
  <c r="AC349" i="1" s="1"/>
  <c r="AB348" i="1"/>
  <c r="AC348" i="1" s="1"/>
  <c r="AB347" i="1"/>
  <c r="AC347"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503" i="1"/>
  <c r="AC503" i="1" s="1"/>
  <c r="AB502" i="1"/>
  <c r="AC502" i="1" s="1"/>
  <c r="AB501" i="1"/>
  <c r="AC501" i="1" s="1"/>
  <c r="AB484" i="1"/>
  <c r="AC484" i="1" s="1"/>
  <c r="AB483" i="1"/>
  <c r="AC483" i="1" s="1"/>
  <c r="AB482" i="1"/>
  <c r="AC482" i="1" s="1"/>
  <c r="AB500" i="1"/>
  <c r="AC500" i="1" s="1"/>
  <c r="AB499" i="1"/>
  <c r="AC499" i="1" s="1"/>
  <c r="AB247" i="1"/>
  <c r="AC247"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14" i="1"/>
  <c r="AC14" i="1" s="1"/>
  <c r="AB236" i="1"/>
  <c r="AC236" i="1" s="1"/>
  <c r="AB13" i="1"/>
  <c r="AC13" i="1" s="1"/>
  <c r="AB235" i="1"/>
  <c r="AC235" i="1" s="1"/>
  <c r="AB234" i="1"/>
  <c r="AC234" i="1" s="1"/>
  <c r="AB233" i="1"/>
  <c r="AC233" i="1" s="1"/>
  <c r="AB232" i="1"/>
  <c r="AC232" i="1" s="1"/>
  <c r="AB231" i="1"/>
  <c r="AC231" i="1" s="1"/>
  <c r="AB230" i="1"/>
  <c r="AC230" i="1" s="1"/>
  <c r="AB229" i="1"/>
  <c r="AC229" i="1" s="1"/>
  <c r="AB228" i="1"/>
  <c r="AC228" i="1" s="1"/>
  <c r="AB227" i="1"/>
  <c r="AC227"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207" i="1"/>
  <c r="AC207" i="1" s="1"/>
  <c r="AB206" i="1"/>
  <c r="AC206" i="1" s="1"/>
  <c r="AB205" i="1"/>
  <c r="AC205" i="1" s="1"/>
  <c r="AB204" i="1"/>
  <c r="AC204" i="1" s="1"/>
  <c r="AB203" i="1"/>
  <c r="AC203" i="1" s="1"/>
  <c r="AB202" i="1"/>
  <c r="AC202" i="1" s="1"/>
  <c r="AB201" i="1"/>
  <c r="AC201" i="1" s="1"/>
  <c r="AB200" i="1"/>
  <c r="AC200" i="1" s="1"/>
  <c r="AB199" i="1"/>
  <c r="AC199" i="1" s="1"/>
  <c r="AB198" i="1"/>
  <c r="AC198" i="1" s="1"/>
  <c r="AB197" i="1"/>
  <c r="AC197" i="1" s="1"/>
  <c r="AB196" i="1"/>
  <c r="AC196" i="1" s="1"/>
  <c r="AB515" i="1"/>
  <c r="AC515" i="1" s="1"/>
  <c r="AB489" i="1"/>
  <c r="AC489" i="1" s="1"/>
  <c r="AB488" i="1"/>
  <c r="AC488" i="1" s="1"/>
  <c r="AB524" i="1"/>
  <c r="AC524" i="1" s="1"/>
  <c r="AB443" i="1"/>
  <c r="AC443" i="1" s="1"/>
  <c r="AB523" i="1"/>
  <c r="AC523" i="1" s="1"/>
  <c r="AB81" i="1"/>
  <c r="AC81" i="1" s="1"/>
  <c r="AB511" i="1"/>
  <c r="AC511" i="1" s="1"/>
  <c r="AB487" i="1"/>
  <c r="AC487" i="1" s="1"/>
  <c r="AB486" i="1"/>
  <c r="AC486" i="1" s="1"/>
  <c r="AB514" i="1"/>
  <c r="AC514" i="1" s="1"/>
  <c r="AB442" i="1"/>
  <c r="AC442" i="1" s="1"/>
  <c r="AB522" i="1"/>
  <c r="AC522" i="1" s="1"/>
  <c r="AB80" i="1"/>
  <c r="AC80" i="1" s="1"/>
  <c r="AB79" i="1"/>
  <c r="AC79" i="1" s="1"/>
  <c r="AB78" i="1"/>
  <c r="AC78" i="1" s="1"/>
  <c r="AB77" i="1"/>
  <c r="AC77" i="1" s="1"/>
  <c r="AB76" i="1"/>
  <c r="AC76" i="1" s="1"/>
  <c r="AB75" i="1"/>
  <c r="AC75" i="1" s="1"/>
  <c r="AB74" i="1"/>
  <c r="AC74" i="1" s="1"/>
  <c r="AB73" i="1"/>
  <c r="AC73" i="1" s="1"/>
  <c r="AB441" i="1"/>
  <c r="AC441" i="1" s="1"/>
  <c r="AB72" i="1"/>
  <c r="AC72" i="1" s="1"/>
  <c r="AB440" i="1"/>
  <c r="AC440" i="1" s="1"/>
  <c r="AB439" i="1"/>
  <c r="AC439" i="1" s="1"/>
  <c r="AB438" i="1"/>
  <c r="AC438" i="1" s="1"/>
  <c r="AB437" i="1"/>
  <c r="AC437" i="1" s="1"/>
  <c r="AB71" i="1"/>
  <c r="AC71" i="1" s="1"/>
  <c r="AB70" i="1"/>
  <c r="AC70" i="1" s="1"/>
  <c r="AB69" i="1"/>
  <c r="AC69" i="1" s="1"/>
  <c r="AB68" i="1"/>
  <c r="AC68" i="1" s="1"/>
  <c r="AB67" i="1"/>
  <c r="AC67" i="1" s="1"/>
  <c r="AB436" i="1"/>
  <c r="AC436" i="1" s="1"/>
  <c r="AB66" i="1"/>
  <c r="AC66" i="1" s="1"/>
  <c r="AB435" i="1"/>
  <c r="AC435" i="1" s="1"/>
  <c r="AB65" i="1"/>
  <c r="AC65" i="1" s="1"/>
  <c r="AB64" i="1"/>
  <c r="AC64" i="1" s="1"/>
  <c r="AB434" i="1"/>
  <c r="AC434" i="1" s="1"/>
  <c r="AB433" i="1"/>
  <c r="AC433" i="1" s="1"/>
  <c r="AB63" i="1"/>
  <c r="AC63" i="1" s="1"/>
  <c r="AB62" i="1"/>
  <c r="AC62" i="1" s="1"/>
  <c r="AB61" i="1"/>
  <c r="AC61" i="1" s="1"/>
  <c r="AB99" i="1"/>
  <c r="AC99" i="1" s="1"/>
  <c r="AB98" i="1"/>
  <c r="AC98" i="1" s="1"/>
  <c r="AB454" i="1"/>
  <c r="AC454" i="1" s="1"/>
  <c r="AB453" i="1"/>
  <c r="AC453" i="1" s="1"/>
  <c r="AB452" i="1"/>
  <c r="AC452" i="1" s="1"/>
  <c r="AB451" i="1"/>
  <c r="AC451" i="1" s="1"/>
  <c r="AB450" i="1"/>
  <c r="AC450" i="1" s="1"/>
  <c r="AB449" i="1"/>
  <c r="AC449" i="1" s="1"/>
  <c r="AB448" i="1"/>
  <c r="AC448" i="1" s="1"/>
  <c r="AB447" i="1"/>
  <c r="AC447" i="1" s="1"/>
  <c r="AB446" i="1"/>
  <c r="AC446" i="1" s="1"/>
  <c r="AB445" i="1"/>
  <c r="AC445" i="1" s="1"/>
  <c r="AB444" i="1"/>
  <c r="AC444" i="1" s="1"/>
  <c r="AB477" i="1"/>
  <c r="AC477" i="1" s="1"/>
  <c r="AB476" i="1"/>
  <c r="AC476" i="1" s="1"/>
  <c r="AB475" i="1"/>
  <c r="AC475" i="1" s="1"/>
  <c r="AB474" i="1"/>
  <c r="AC474" i="1" s="1"/>
  <c r="AB473" i="1"/>
  <c r="AC473" i="1" s="1"/>
  <c r="AB472" i="1"/>
  <c r="AC472" i="1" s="1"/>
  <c r="AB471" i="1"/>
  <c r="AC471" i="1" s="1"/>
  <c r="AB470" i="1"/>
  <c r="AC470" i="1" s="1"/>
  <c r="AB469" i="1"/>
  <c r="AC469" i="1" s="1"/>
  <c r="AB468" i="1"/>
  <c r="AC468" i="1" s="1"/>
  <c r="AB467" i="1"/>
  <c r="AC467" i="1" s="1"/>
  <c r="AB466" i="1"/>
  <c r="AC466" i="1" s="1"/>
  <c r="AB465" i="1"/>
  <c r="AC465" i="1" s="1"/>
  <c r="AB464" i="1"/>
  <c r="AC464" i="1" s="1"/>
  <c r="AB463" i="1"/>
  <c r="AC463" i="1" s="1"/>
  <c r="AB462" i="1"/>
  <c r="AC462" i="1" s="1"/>
  <c r="AB461" i="1"/>
  <c r="AC461" i="1" s="1"/>
  <c r="AB460" i="1"/>
  <c r="AC460" i="1" s="1"/>
  <c r="AB459" i="1"/>
  <c r="AC459" i="1" s="1"/>
  <c r="AB458" i="1"/>
  <c r="AC458" i="1" s="1"/>
  <c r="AB457" i="1"/>
  <c r="AC457" i="1" s="1"/>
  <c r="AB456" i="1"/>
  <c r="AC456" i="1" s="1"/>
  <c r="AB455" i="1"/>
  <c r="AC455" i="1" s="1"/>
  <c r="AB19" i="1"/>
  <c r="AC19" i="1" s="1"/>
  <c r="AB432" i="1"/>
  <c r="AC432" i="1" s="1"/>
  <c r="AB431" i="1"/>
  <c r="AC431" i="1" s="1"/>
  <c r="AB430" i="1"/>
  <c r="AC430" i="1" s="1"/>
  <c r="AB429" i="1"/>
  <c r="AC429" i="1" s="1"/>
  <c r="AB428" i="1"/>
  <c r="AC428" i="1" s="1"/>
  <c r="AB427" i="1"/>
  <c r="AC427" i="1" s="1"/>
  <c r="AB426" i="1"/>
  <c r="AC426" i="1" s="1"/>
  <c r="AB425" i="1"/>
  <c r="AC425" i="1" s="1"/>
  <c r="AB424" i="1"/>
  <c r="AC424" i="1" s="1"/>
  <c r="AB423" i="1"/>
  <c r="AC423" i="1" s="1"/>
  <c r="AB422" i="1"/>
  <c r="AC422" i="1" s="1"/>
  <c r="AB421" i="1"/>
  <c r="AC421" i="1" s="1"/>
  <c r="AB420" i="1"/>
  <c r="AC420" i="1" s="1"/>
  <c r="AB419" i="1"/>
  <c r="AC419" i="1" s="1"/>
  <c r="AB418" i="1"/>
  <c r="AC418" i="1" s="1"/>
  <c r="AB417" i="1"/>
  <c r="AC417" i="1" s="1"/>
  <c r="AB416" i="1"/>
  <c r="AC416" i="1" s="1"/>
  <c r="AB415" i="1"/>
  <c r="AC415" i="1" s="1"/>
  <c r="AB414" i="1"/>
  <c r="AC414" i="1" s="1"/>
  <c r="AB413" i="1"/>
  <c r="AC413" i="1" s="1"/>
  <c r="AB412" i="1"/>
  <c r="AC412" i="1" s="1"/>
  <c r="AB411" i="1"/>
  <c r="AC411" i="1" s="1"/>
  <c r="AB410" i="1"/>
  <c r="AC410" i="1" s="1"/>
  <c r="AB409" i="1"/>
  <c r="AC409" i="1" s="1"/>
  <c r="AB408" i="1"/>
  <c r="AC408" i="1" s="1"/>
  <c r="AB407" i="1"/>
  <c r="AC407" i="1" s="1"/>
  <c r="AB406" i="1"/>
  <c r="AC406" i="1" s="1"/>
  <c r="AB405" i="1"/>
  <c r="AC405" i="1" s="1"/>
  <c r="Y298" i="1"/>
  <c r="Z298" i="1" s="1"/>
  <c r="Y297" i="1"/>
  <c r="Z297" i="1" s="1"/>
  <c r="Y296" i="1"/>
  <c r="Z296" i="1" s="1"/>
  <c r="Y295" i="1"/>
  <c r="Z295" i="1" s="1"/>
  <c r="Y294" i="1"/>
  <c r="Z294" i="1" s="1"/>
  <c r="Y293" i="1"/>
  <c r="Z293" i="1" s="1"/>
  <c r="Y292" i="1"/>
  <c r="Z292" i="1" s="1"/>
  <c r="Y17" i="1"/>
  <c r="Z17" i="1" s="1"/>
  <c r="Y291" i="1"/>
  <c r="Z291" i="1" s="1"/>
  <c r="Y289" i="1"/>
  <c r="Z289" i="1" s="1"/>
  <c r="Y287" i="1"/>
  <c r="Z287" i="1" s="1"/>
  <c r="Y16" i="1"/>
  <c r="Z16" i="1" s="1"/>
  <c r="Y286" i="1"/>
  <c r="Z286" i="1" s="1"/>
  <c r="Y285" i="1"/>
  <c r="Z285" i="1" s="1"/>
  <c r="Y15" i="1"/>
  <c r="Z15" i="1" s="1"/>
  <c r="Y284" i="1"/>
  <c r="Z284" i="1" s="1"/>
  <c r="Y283" i="1"/>
  <c r="Z283" i="1" s="1"/>
  <c r="Y282" i="1"/>
  <c r="Z282" i="1" s="1"/>
  <c r="Y281" i="1"/>
  <c r="Z281" i="1" s="1"/>
  <c r="Y280" i="1"/>
  <c r="Z280" i="1" s="1"/>
  <c r="Y279" i="1"/>
  <c r="Z279" i="1" s="1"/>
  <c r="Y278" i="1"/>
  <c r="Z278" i="1" s="1"/>
  <c r="Y277" i="1"/>
  <c r="Z277" i="1" s="1"/>
  <c r="Y276" i="1"/>
  <c r="Z276" i="1" s="1"/>
  <c r="Y275" i="1"/>
  <c r="Z275" i="1" s="1"/>
  <c r="Y274" i="1"/>
  <c r="Z274" i="1" s="1"/>
  <c r="Y273" i="1"/>
  <c r="Z273" i="1" s="1"/>
  <c r="Y272" i="1"/>
  <c r="Z272" i="1" s="1"/>
  <c r="Y271" i="1"/>
  <c r="Z271" i="1" s="1"/>
  <c r="Y270" i="1"/>
  <c r="Z270" i="1" s="1"/>
  <c r="Y269" i="1"/>
  <c r="Z269" i="1" s="1"/>
  <c r="Y268" i="1"/>
  <c r="Z268" i="1" s="1"/>
  <c r="Y267" i="1"/>
  <c r="Z267" i="1" s="1"/>
  <c r="Y266" i="1"/>
  <c r="Z266" i="1" s="1"/>
  <c r="Y265" i="1"/>
  <c r="Z265" i="1" s="1"/>
  <c r="Y264" i="1"/>
  <c r="Z264" i="1" s="1"/>
  <c r="Y263" i="1"/>
  <c r="Z263" i="1" s="1"/>
  <c r="Y262" i="1"/>
  <c r="Z262" i="1" s="1"/>
  <c r="Y261" i="1"/>
  <c r="Z261" i="1" s="1"/>
  <c r="Y260" i="1"/>
  <c r="Z260" i="1" s="1"/>
  <c r="Y259" i="1"/>
  <c r="Z259" i="1" s="1"/>
  <c r="Y258" i="1"/>
  <c r="Z258" i="1" s="1"/>
  <c r="Y257" i="1"/>
  <c r="Z257" i="1" s="1"/>
  <c r="Y256" i="1"/>
  <c r="Z256" i="1" s="1"/>
  <c r="Y255" i="1"/>
  <c r="Z255" i="1" s="1"/>
  <c r="Y254" i="1"/>
  <c r="Z254" i="1" s="1"/>
  <c r="Y253" i="1"/>
  <c r="Z253" i="1" s="1"/>
  <c r="Y252" i="1"/>
  <c r="Z252" i="1" s="1"/>
  <c r="Y251" i="1"/>
  <c r="Z251" i="1" s="1"/>
  <c r="Y250" i="1"/>
  <c r="Z250" i="1" s="1"/>
  <c r="Y249" i="1"/>
  <c r="Z249" i="1" s="1"/>
  <c r="Y248" i="1"/>
  <c r="Z248" i="1" s="1"/>
  <c r="Y507" i="1"/>
  <c r="Z507" i="1" s="1"/>
  <c r="Y506" i="1"/>
  <c r="Z506" i="1" s="1"/>
  <c r="Y505" i="1"/>
  <c r="Z505" i="1" s="1"/>
  <c r="Y504" i="1"/>
  <c r="Z504" i="1" s="1"/>
  <c r="Y485" i="1"/>
  <c r="Z485"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100" i="1"/>
  <c r="Z100" i="1" s="1"/>
  <c r="Y12" i="1"/>
  <c r="Z12" i="1" s="1"/>
  <c r="Y531" i="1"/>
  <c r="Z531" i="1" s="1"/>
  <c r="Y530" i="1"/>
  <c r="Z530" i="1" s="1"/>
  <c r="Y529" i="1"/>
  <c r="Z529" i="1" s="1"/>
  <c r="Y528" i="1"/>
  <c r="Z528" i="1" s="1"/>
  <c r="Y527" i="1"/>
  <c r="Z527" i="1" s="1"/>
  <c r="Y526" i="1"/>
  <c r="Z526" i="1" s="1"/>
  <c r="Y498" i="1"/>
  <c r="Z498" i="1" s="1"/>
  <c r="Y497" i="1"/>
  <c r="Z497" i="1" s="1"/>
  <c r="Y496" i="1"/>
  <c r="Z496" i="1" s="1"/>
  <c r="Y495" i="1"/>
  <c r="Z495" i="1" s="1"/>
  <c r="Y494" i="1"/>
  <c r="Z494" i="1" s="1"/>
  <c r="Y525" i="1"/>
  <c r="Z525" i="1" s="1"/>
  <c r="Y493" i="1"/>
  <c r="Z493" i="1" s="1"/>
  <c r="Y512" i="1"/>
  <c r="Z512" i="1" s="1"/>
  <c r="Y492" i="1"/>
  <c r="Z492" i="1" s="1"/>
  <c r="Y516" i="1"/>
  <c r="Z516" i="1" s="1"/>
  <c r="Y491" i="1"/>
  <c r="Z491" i="1" s="1"/>
  <c r="Y481" i="1"/>
  <c r="Z481" i="1" s="1"/>
  <c r="Y480" i="1"/>
  <c r="Z480" i="1" s="1"/>
  <c r="Y490" i="1"/>
  <c r="Z490" i="1" s="1"/>
  <c r="Y479" i="1"/>
  <c r="Z479" i="1" s="1"/>
  <c r="Y478" i="1"/>
  <c r="Z478"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309" i="1"/>
  <c r="Z309" i="1" s="1"/>
  <c r="Y308" i="1"/>
  <c r="Z308" i="1" s="1"/>
  <c r="Y307" i="1"/>
  <c r="Z307" i="1" s="1"/>
  <c r="Y306" i="1"/>
  <c r="Z306" i="1" s="1"/>
  <c r="Y305" i="1"/>
  <c r="Z305" i="1" s="1"/>
  <c r="Y304" i="1"/>
  <c r="Z304" i="1" s="1"/>
  <c r="Y303" i="1"/>
  <c r="Z303" i="1" s="1"/>
  <c r="Y302" i="1"/>
  <c r="Z302" i="1" s="1"/>
  <c r="Y301" i="1"/>
  <c r="Z301" i="1" s="1"/>
  <c r="Y521" i="1"/>
  <c r="Z521" i="1" s="1"/>
  <c r="Y520" i="1"/>
  <c r="Z520" i="1" s="1"/>
  <c r="Y519" i="1"/>
  <c r="Z519" i="1" s="1"/>
  <c r="Y513" i="1"/>
  <c r="Z513" i="1" s="1"/>
  <c r="Y518" i="1"/>
  <c r="Z518" i="1" s="1"/>
  <c r="Y517" i="1"/>
  <c r="Z517" i="1" s="1"/>
  <c r="Y300" i="1"/>
  <c r="Z300" i="1" s="1"/>
  <c r="Y509" i="1"/>
  <c r="Z509" i="1" s="1"/>
  <c r="Y508" i="1"/>
  <c r="Z508" i="1" s="1"/>
  <c r="Y299" i="1"/>
  <c r="Z299" i="1" s="1"/>
  <c r="Y404" i="1"/>
  <c r="Z404" i="1" s="1"/>
  <c r="Y403" i="1"/>
  <c r="Z403" i="1" s="1"/>
  <c r="Y402" i="1"/>
  <c r="Z402" i="1" s="1"/>
  <c r="Y401" i="1"/>
  <c r="Z401" i="1" s="1"/>
  <c r="Y400" i="1"/>
  <c r="Z400" i="1" s="1"/>
  <c r="Y399" i="1"/>
  <c r="Z399" i="1" s="1"/>
  <c r="Y397" i="1"/>
  <c r="Z397" i="1" s="1"/>
  <c r="Y396" i="1"/>
  <c r="Z396" i="1" s="1"/>
  <c r="Y395" i="1"/>
  <c r="Z395" i="1" s="1"/>
  <c r="Y394" i="1"/>
  <c r="Z394" i="1" s="1"/>
  <c r="Y393" i="1"/>
  <c r="Z393"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368" i="1"/>
  <c r="Z368" i="1" s="1"/>
  <c r="Y367" i="1"/>
  <c r="Z367" i="1" s="1"/>
  <c r="Y366" i="1"/>
  <c r="Z366" i="1" s="1"/>
  <c r="Y365" i="1"/>
  <c r="Z365" i="1" s="1"/>
  <c r="Y364" i="1"/>
  <c r="Z364" i="1" s="1"/>
  <c r="Y363" i="1"/>
  <c r="Z363" i="1" s="1"/>
  <c r="Y362" i="1"/>
  <c r="Z362" i="1" s="1"/>
  <c r="Y361" i="1"/>
  <c r="Z361" i="1" s="1"/>
  <c r="Y360" i="1"/>
  <c r="Z360" i="1" s="1"/>
  <c r="Y359" i="1"/>
  <c r="Z359" i="1" s="1"/>
  <c r="Y358" i="1"/>
  <c r="Z358" i="1" s="1"/>
  <c r="Y357" i="1"/>
  <c r="Z357" i="1" s="1"/>
  <c r="Y356" i="1"/>
  <c r="Z356" i="1" s="1"/>
  <c r="Y355" i="1"/>
  <c r="Z355" i="1" s="1"/>
  <c r="Y18" i="1"/>
  <c r="Z18" i="1" s="1"/>
  <c r="Y354" i="1"/>
  <c r="Z354" i="1" s="1"/>
  <c r="Y353" i="1"/>
  <c r="Z353" i="1" s="1"/>
  <c r="Y352" i="1"/>
  <c r="Z352" i="1" s="1"/>
  <c r="Y351" i="1"/>
  <c r="Z351" i="1" s="1"/>
  <c r="Y350" i="1"/>
  <c r="Z350" i="1" s="1"/>
  <c r="Y349" i="1"/>
  <c r="Z349" i="1" s="1"/>
  <c r="Y348" i="1"/>
  <c r="Z348" i="1" s="1"/>
  <c r="Y347" i="1"/>
  <c r="Z347"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503" i="1"/>
  <c r="Z503" i="1" s="1"/>
  <c r="Y502" i="1"/>
  <c r="Z502" i="1" s="1"/>
  <c r="Y501" i="1"/>
  <c r="Z501" i="1" s="1"/>
  <c r="Y484" i="1"/>
  <c r="Z484" i="1" s="1"/>
  <c r="Y483" i="1"/>
  <c r="Z483" i="1" s="1"/>
  <c r="Y482" i="1"/>
  <c r="Z482" i="1" s="1"/>
  <c r="Y500" i="1"/>
  <c r="Z500" i="1" s="1"/>
  <c r="Y499" i="1"/>
  <c r="Z499" i="1" s="1"/>
  <c r="Y247" i="1"/>
  <c r="Z247" i="1" s="1"/>
  <c r="Y246" i="1"/>
  <c r="Z246" i="1" s="1"/>
  <c r="Y245" i="1"/>
  <c r="Z245" i="1" s="1"/>
  <c r="Y244" i="1"/>
  <c r="Z244" i="1" s="1"/>
  <c r="Y243" i="1"/>
  <c r="Z243" i="1" s="1"/>
  <c r="Y242" i="1"/>
  <c r="Z242" i="1" s="1"/>
  <c r="Y241" i="1"/>
  <c r="Z241" i="1" s="1"/>
  <c r="Y240" i="1"/>
  <c r="Z240" i="1" s="1"/>
  <c r="Y239" i="1"/>
  <c r="Z239" i="1" s="1"/>
  <c r="Y238" i="1"/>
  <c r="Z238" i="1" s="1"/>
  <c r="Y237" i="1"/>
  <c r="Z237" i="1" s="1"/>
  <c r="Y14" i="1"/>
  <c r="Z14" i="1" s="1"/>
  <c r="Y236" i="1"/>
  <c r="Z236" i="1" s="1"/>
  <c r="Y13" i="1"/>
  <c r="Z13"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515" i="1"/>
  <c r="Z515" i="1" s="1"/>
  <c r="Y489" i="1"/>
  <c r="Z489" i="1" s="1"/>
  <c r="Y488" i="1"/>
  <c r="Z488" i="1" s="1"/>
  <c r="Y524" i="1"/>
  <c r="Z524" i="1" s="1"/>
  <c r="Y443" i="1"/>
  <c r="Z443" i="1" s="1"/>
  <c r="Y523" i="1"/>
  <c r="Z523" i="1" s="1"/>
  <c r="Y81" i="1"/>
  <c r="Z81" i="1" s="1"/>
  <c r="Y511" i="1"/>
  <c r="Z511" i="1" s="1"/>
  <c r="Y487" i="1"/>
  <c r="Z487" i="1" s="1"/>
  <c r="Y486" i="1"/>
  <c r="Z486" i="1" s="1"/>
  <c r="Y514" i="1"/>
  <c r="Z514" i="1" s="1"/>
  <c r="Y442" i="1"/>
  <c r="Z442" i="1" s="1"/>
  <c r="Y522" i="1"/>
  <c r="Z522" i="1" s="1"/>
  <c r="Y80" i="1"/>
  <c r="Z80" i="1" s="1"/>
  <c r="Y79" i="1"/>
  <c r="Z79" i="1" s="1"/>
  <c r="Y78" i="1"/>
  <c r="Z78" i="1" s="1"/>
  <c r="Y77" i="1"/>
  <c r="Z77" i="1" s="1"/>
  <c r="Y76" i="1"/>
  <c r="Z76" i="1" s="1"/>
  <c r="Y75" i="1"/>
  <c r="Z75" i="1" s="1"/>
  <c r="Y74" i="1"/>
  <c r="Z74" i="1" s="1"/>
  <c r="Y73" i="1"/>
  <c r="Z73" i="1" s="1"/>
  <c r="Y441" i="1"/>
  <c r="Z441" i="1" s="1"/>
  <c r="Y72" i="1"/>
  <c r="Z72" i="1" s="1"/>
  <c r="Y440" i="1"/>
  <c r="Z440" i="1" s="1"/>
  <c r="Y439" i="1"/>
  <c r="Z439" i="1" s="1"/>
  <c r="Y438" i="1"/>
  <c r="Z438" i="1" s="1"/>
  <c r="Y437" i="1"/>
  <c r="Z437" i="1" s="1"/>
  <c r="Y71" i="1"/>
  <c r="Z71" i="1" s="1"/>
  <c r="Y70" i="1"/>
  <c r="Z70" i="1" s="1"/>
  <c r="Y69" i="1"/>
  <c r="Z69" i="1" s="1"/>
  <c r="Y68" i="1"/>
  <c r="Z68" i="1" s="1"/>
  <c r="Y67" i="1"/>
  <c r="Z67" i="1" s="1"/>
  <c r="Y436" i="1"/>
  <c r="Z436" i="1" s="1"/>
  <c r="Y66" i="1"/>
  <c r="Z66" i="1" s="1"/>
  <c r="Y435" i="1"/>
  <c r="Z435" i="1" s="1"/>
  <c r="Y65" i="1"/>
  <c r="Z65" i="1" s="1"/>
  <c r="Y64" i="1"/>
  <c r="Z64" i="1" s="1"/>
  <c r="Y434" i="1"/>
  <c r="Z434" i="1" s="1"/>
  <c r="Y433" i="1"/>
  <c r="Z433" i="1" s="1"/>
  <c r="Y63" i="1"/>
  <c r="Z63" i="1" s="1"/>
  <c r="Y62" i="1"/>
  <c r="Z62" i="1" s="1"/>
  <c r="Y61" i="1"/>
  <c r="Z61" i="1" s="1"/>
  <c r="Y99" i="1"/>
  <c r="Z99" i="1" s="1"/>
  <c r="Y98" i="1"/>
  <c r="Z98" i="1" s="1"/>
  <c r="Y454" i="1"/>
  <c r="Z454" i="1" s="1"/>
  <c r="Y453" i="1"/>
  <c r="Z453" i="1" s="1"/>
  <c r="Y452" i="1"/>
  <c r="Z452" i="1" s="1"/>
  <c r="Y451" i="1"/>
  <c r="Z451" i="1" s="1"/>
  <c r="Y450" i="1"/>
  <c r="Z450" i="1" s="1"/>
  <c r="Y449" i="1"/>
  <c r="Z449" i="1" s="1"/>
  <c r="Y448" i="1"/>
  <c r="Z448" i="1" s="1"/>
  <c r="Y447" i="1"/>
  <c r="Z447" i="1" s="1"/>
  <c r="Y446" i="1"/>
  <c r="Z446" i="1" s="1"/>
  <c r="Y445" i="1"/>
  <c r="Z445" i="1" s="1"/>
  <c r="Y444" i="1"/>
  <c r="Z444" i="1" s="1"/>
  <c r="Y477" i="1"/>
  <c r="Z477" i="1" s="1"/>
  <c r="Y476" i="1"/>
  <c r="Z476" i="1" s="1"/>
  <c r="Y475" i="1"/>
  <c r="Z475" i="1" s="1"/>
  <c r="Y474" i="1"/>
  <c r="Z474" i="1" s="1"/>
  <c r="Y473" i="1"/>
  <c r="Z473" i="1" s="1"/>
  <c r="Y472" i="1"/>
  <c r="Z472" i="1" s="1"/>
  <c r="Y471" i="1"/>
  <c r="Z471" i="1" s="1"/>
  <c r="Y470" i="1"/>
  <c r="Z470" i="1" s="1"/>
  <c r="Y469" i="1"/>
  <c r="Z469" i="1" s="1"/>
  <c r="Y468" i="1"/>
  <c r="Z468" i="1" s="1"/>
  <c r="Y467" i="1"/>
  <c r="Z467" i="1" s="1"/>
  <c r="Y466" i="1"/>
  <c r="Z466" i="1" s="1"/>
  <c r="Y465" i="1"/>
  <c r="Z465" i="1" s="1"/>
  <c r="Y464" i="1"/>
  <c r="Z464" i="1" s="1"/>
  <c r="Y463" i="1"/>
  <c r="Z463" i="1" s="1"/>
  <c r="Y462" i="1"/>
  <c r="Z462" i="1" s="1"/>
  <c r="Y461" i="1"/>
  <c r="Z461" i="1" s="1"/>
  <c r="Y460" i="1"/>
  <c r="Z460" i="1" s="1"/>
  <c r="Y459" i="1"/>
  <c r="Z459" i="1" s="1"/>
  <c r="Y458" i="1"/>
  <c r="Z458" i="1" s="1"/>
  <c r="Y457" i="1"/>
  <c r="Z457" i="1" s="1"/>
  <c r="Y456" i="1"/>
  <c r="Z456" i="1" s="1"/>
  <c r="Y455" i="1"/>
  <c r="Z455" i="1" s="1"/>
  <c r="Y19" i="1"/>
  <c r="Z19" i="1" s="1"/>
  <c r="Y432" i="1"/>
  <c r="Z432" i="1" s="1"/>
  <c r="Y431" i="1"/>
  <c r="Z431" i="1" s="1"/>
  <c r="Y430" i="1"/>
  <c r="Z430" i="1" s="1"/>
  <c r="Y429" i="1"/>
  <c r="Z429" i="1" s="1"/>
  <c r="Y428" i="1"/>
  <c r="Z428" i="1" s="1"/>
  <c r="Y427" i="1"/>
  <c r="Z427" i="1" s="1"/>
  <c r="Y426" i="1"/>
  <c r="Z426" i="1" s="1"/>
  <c r="Y425" i="1"/>
  <c r="Z425" i="1" s="1"/>
  <c r="Y424" i="1"/>
  <c r="Z424" i="1" s="1"/>
  <c r="Y423" i="1"/>
  <c r="Z423" i="1" s="1"/>
  <c r="Y422" i="1"/>
  <c r="Z422" i="1" s="1"/>
  <c r="Y421" i="1"/>
  <c r="Z421" i="1" s="1"/>
  <c r="Y420" i="1"/>
  <c r="Z420" i="1" s="1"/>
  <c r="Y419" i="1"/>
  <c r="Z419" i="1" s="1"/>
  <c r="Y418" i="1"/>
  <c r="Z418" i="1" s="1"/>
  <c r="Y417" i="1"/>
  <c r="Z417" i="1" s="1"/>
  <c r="Y416" i="1"/>
  <c r="Z416" i="1" s="1"/>
  <c r="Y415" i="1"/>
  <c r="Z415" i="1" s="1"/>
  <c r="Y414" i="1"/>
  <c r="Z414" i="1" s="1"/>
  <c r="Y413" i="1"/>
  <c r="Z413" i="1" s="1"/>
  <c r="Y412" i="1"/>
  <c r="Z412" i="1" s="1"/>
  <c r="Y411" i="1"/>
  <c r="Z411" i="1" s="1"/>
  <c r="Y410" i="1"/>
  <c r="Z410" i="1" s="1"/>
  <c r="Y409" i="1"/>
  <c r="Z409" i="1" s="1"/>
  <c r="Y408" i="1"/>
  <c r="Z408" i="1" s="1"/>
  <c r="Y407" i="1"/>
  <c r="Z407" i="1" s="1"/>
  <c r="Y406" i="1"/>
  <c r="Z406" i="1" s="1"/>
  <c r="Y405" i="1"/>
  <c r="Z405" i="1" s="1"/>
  <c r="Y510" i="1"/>
  <c r="Z510" i="1" s="1"/>
  <c r="W298" i="1"/>
  <c r="W297" i="1"/>
  <c r="W296" i="1"/>
  <c r="W295" i="1"/>
  <c r="W294" i="1"/>
  <c r="W293" i="1"/>
  <c r="W292" i="1"/>
  <c r="W17" i="1"/>
  <c r="W291" i="1"/>
  <c r="W289" i="1"/>
  <c r="W287" i="1"/>
  <c r="W16" i="1"/>
  <c r="W286" i="1"/>
  <c r="W285" i="1"/>
  <c r="W15" i="1"/>
  <c r="W284" i="1"/>
  <c r="W283" i="1"/>
  <c r="W282" i="1"/>
  <c r="W281" i="1"/>
  <c r="W280" i="1"/>
  <c r="W279" i="1"/>
  <c r="W278" i="1"/>
  <c r="W277" i="1"/>
  <c r="W276" i="1"/>
  <c r="W275" i="1"/>
  <c r="W274" i="1"/>
  <c r="W273" i="1"/>
  <c r="W272" i="1"/>
  <c r="W271" i="1"/>
  <c r="W270" i="1"/>
  <c r="W269" i="1"/>
  <c r="W268" i="1"/>
  <c r="W267" i="1"/>
  <c r="W266" i="1"/>
  <c r="W265" i="1"/>
  <c r="W264" i="1"/>
  <c r="W263" i="1"/>
  <c r="W262" i="1"/>
  <c r="W261" i="1"/>
  <c r="W260" i="1"/>
  <c r="W259" i="1"/>
  <c r="W258" i="1"/>
  <c r="W257" i="1"/>
  <c r="W256" i="1"/>
  <c r="W255" i="1"/>
  <c r="W254" i="1"/>
  <c r="W253" i="1"/>
  <c r="W252" i="1"/>
  <c r="W251" i="1"/>
  <c r="W250" i="1"/>
  <c r="W249" i="1"/>
  <c r="W248" i="1"/>
  <c r="W507" i="1"/>
  <c r="W506" i="1"/>
  <c r="W505" i="1"/>
  <c r="W504" i="1"/>
  <c r="W485" i="1"/>
  <c r="W195" i="1"/>
  <c r="W194" i="1"/>
  <c r="W193" i="1"/>
  <c r="W192" i="1"/>
  <c r="W191" i="1"/>
  <c r="W190" i="1"/>
  <c r="W189" i="1"/>
  <c r="W188"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12" i="1"/>
  <c r="W531" i="1"/>
  <c r="W530" i="1"/>
  <c r="W529" i="1"/>
  <c r="W528" i="1"/>
  <c r="W527" i="1"/>
  <c r="W526" i="1"/>
  <c r="W498" i="1"/>
  <c r="W497" i="1"/>
  <c r="W496" i="1"/>
  <c r="W495" i="1"/>
  <c r="W494" i="1"/>
  <c r="W525" i="1"/>
  <c r="W493" i="1"/>
  <c r="W512" i="1"/>
  <c r="W492" i="1"/>
  <c r="W516" i="1"/>
  <c r="W491" i="1"/>
  <c r="W481" i="1"/>
  <c r="W480" i="1"/>
  <c r="W490" i="1"/>
  <c r="W479" i="1"/>
  <c r="W478"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309" i="1"/>
  <c r="W308" i="1"/>
  <c r="W307" i="1"/>
  <c r="W306" i="1"/>
  <c r="W305" i="1"/>
  <c r="W304" i="1"/>
  <c r="W303" i="1"/>
  <c r="W302" i="1"/>
  <c r="W301" i="1"/>
  <c r="W521" i="1"/>
  <c r="W520" i="1"/>
  <c r="W519" i="1"/>
  <c r="W513" i="1"/>
  <c r="W518" i="1"/>
  <c r="W517" i="1"/>
  <c r="W300" i="1"/>
  <c r="W509" i="1"/>
  <c r="W508" i="1"/>
  <c r="W299"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W379" i="1"/>
  <c r="W378" i="1"/>
  <c r="W377" i="1"/>
  <c r="W376" i="1"/>
  <c r="W375" i="1"/>
  <c r="W374" i="1"/>
  <c r="W373" i="1"/>
  <c r="W372" i="1"/>
  <c r="W371" i="1"/>
  <c r="W370" i="1"/>
  <c r="W369" i="1"/>
  <c r="W368" i="1"/>
  <c r="W367" i="1"/>
  <c r="W366" i="1"/>
  <c r="W365" i="1"/>
  <c r="W364" i="1"/>
  <c r="W363" i="1"/>
  <c r="W362" i="1"/>
  <c r="W361" i="1"/>
  <c r="W360" i="1"/>
  <c r="W359" i="1"/>
  <c r="W358" i="1"/>
  <c r="W357" i="1"/>
  <c r="W356" i="1"/>
  <c r="W355" i="1"/>
  <c r="W18" i="1"/>
  <c r="W354" i="1"/>
  <c r="W353" i="1"/>
  <c r="W352" i="1"/>
  <c r="W351" i="1"/>
  <c r="W350" i="1"/>
  <c r="W349" i="1"/>
  <c r="W348" i="1"/>
  <c r="W347" i="1"/>
  <c r="W97" i="1"/>
  <c r="W96" i="1"/>
  <c r="W95" i="1"/>
  <c r="W94" i="1"/>
  <c r="W93" i="1"/>
  <c r="W92" i="1"/>
  <c r="W91" i="1"/>
  <c r="W90" i="1"/>
  <c r="W89" i="1"/>
  <c r="W88" i="1"/>
  <c r="W87" i="1"/>
  <c r="W86" i="1"/>
  <c r="W85" i="1"/>
  <c r="W84" i="1"/>
  <c r="W83" i="1"/>
  <c r="W82" i="1"/>
  <c r="W503" i="1"/>
  <c r="W502" i="1"/>
  <c r="W501" i="1"/>
  <c r="W484" i="1"/>
  <c r="W483" i="1"/>
  <c r="W482" i="1"/>
  <c r="W500" i="1"/>
  <c r="W499" i="1"/>
  <c r="W247" i="1"/>
  <c r="W246" i="1"/>
  <c r="W245" i="1"/>
  <c r="W244" i="1"/>
  <c r="W243" i="1"/>
  <c r="W242" i="1"/>
  <c r="W241" i="1"/>
  <c r="W240" i="1"/>
  <c r="W239" i="1"/>
  <c r="W238" i="1"/>
  <c r="W237" i="1"/>
  <c r="W14" i="1"/>
  <c r="W236" i="1"/>
  <c r="W13"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207" i="1"/>
  <c r="W206" i="1"/>
  <c r="W205" i="1"/>
  <c r="W204" i="1"/>
  <c r="W203" i="1"/>
  <c r="W202" i="1"/>
  <c r="W201" i="1"/>
  <c r="W200" i="1"/>
  <c r="W199" i="1"/>
  <c r="W198" i="1"/>
  <c r="W197" i="1"/>
  <c r="W196" i="1"/>
  <c r="W515" i="1"/>
  <c r="W489" i="1"/>
  <c r="W488" i="1"/>
  <c r="W524" i="1"/>
  <c r="W443" i="1"/>
  <c r="W523" i="1"/>
  <c r="W81" i="1"/>
  <c r="W511" i="1"/>
  <c r="W487" i="1"/>
  <c r="W486" i="1"/>
  <c r="W514" i="1"/>
  <c r="W442" i="1"/>
  <c r="W522" i="1"/>
  <c r="W80" i="1"/>
  <c r="W79" i="1"/>
  <c r="W78" i="1"/>
  <c r="W77" i="1"/>
  <c r="W76" i="1"/>
  <c r="W75" i="1"/>
  <c r="W74" i="1"/>
  <c r="W73" i="1"/>
  <c r="W441" i="1"/>
  <c r="W72" i="1"/>
  <c r="W440" i="1"/>
  <c r="W439" i="1"/>
  <c r="W438" i="1"/>
  <c r="W437" i="1"/>
  <c r="W71" i="1"/>
  <c r="W70" i="1"/>
  <c r="W69" i="1"/>
  <c r="W68" i="1"/>
  <c r="W67" i="1"/>
  <c r="W436" i="1"/>
  <c r="W66" i="1"/>
  <c r="W435" i="1"/>
  <c r="W65" i="1"/>
  <c r="W64" i="1"/>
  <c r="W434" i="1"/>
  <c r="W433" i="1"/>
  <c r="W63" i="1"/>
  <c r="W62" i="1"/>
  <c r="W61" i="1"/>
  <c r="W99" i="1"/>
  <c r="W98" i="1"/>
  <c r="W454" i="1"/>
  <c r="W453" i="1"/>
  <c r="W452" i="1"/>
  <c r="W451" i="1"/>
  <c r="W450" i="1"/>
  <c r="W449" i="1"/>
  <c r="W448" i="1"/>
  <c r="W447" i="1"/>
  <c r="W446" i="1"/>
  <c r="W445" i="1"/>
  <c r="W444" i="1"/>
  <c r="W477" i="1"/>
  <c r="W476" i="1"/>
  <c r="W475" i="1"/>
  <c r="W474" i="1"/>
  <c r="W473" i="1"/>
  <c r="W472" i="1"/>
  <c r="W471" i="1"/>
  <c r="W470" i="1"/>
  <c r="W469" i="1"/>
  <c r="W468" i="1"/>
  <c r="W467" i="1"/>
  <c r="W466" i="1"/>
  <c r="W465" i="1"/>
  <c r="W464" i="1"/>
  <c r="W463" i="1"/>
  <c r="W462" i="1"/>
  <c r="W461" i="1"/>
  <c r="W460" i="1"/>
  <c r="W459" i="1"/>
  <c r="W458" i="1"/>
  <c r="W457" i="1"/>
  <c r="W456" i="1"/>
  <c r="W455" i="1"/>
  <c r="W19"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V298" i="1"/>
  <c r="V297" i="1"/>
  <c r="V296" i="1"/>
  <c r="V295" i="1"/>
  <c r="V294" i="1"/>
  <c r="V293" i="1"/>
  <c r="V292" i="1"/>
  <c r="V17" i="1"/>
  <c r="V291" i="1"/>
  <c r="V289" i="1"/>
  <c r="V287" i="1"/>
  <c r="V16" i="1"/>
  <c r="V286" i="1"/>
  <c r="V285" i="1"/>
  <c r="V1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507" i="1"/>
  <c r="V506" i="1"/>
  <c r="V505" i="1"/>
  <c r="V504" i="1"/>
  <c r="V485"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12" i="1"/>
  <c r="V531" i="1"/>
  <c r="V530" i="1"/>
  <c r="V529" i="1"/>
  <c r="V528" i="1"/>
  <c r="V527" i="1"/>
  <c r="V526" i="1"/>
  <c r="V498" i="1"/>
  <c r="V497" i="1"/>
  <c r="V496" i="1"/>
  <c r="V495" i="1"/>
  <c r="V494" i="1"/>
  <c r="V525" i="1"/>
  <c r="V493" i="1"/>
  <c r="V512" i="1"/>
  <c r="V492" i="1"/>
  <c r="V516" i="1"/>
  <c r="V491" i="1"/>
  <c r="V481" i="1"/>
  <c r="V480" i="1"/>
  <c r="V490" i="1"/>
  <c r="V479" i="1"/>
  <c r="V478"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521" i="1"/>
  <c r="V520" i="1"/>
  <c r="V519" i="1"/>
  <c r="V513" i="1"/>
  <c r="V518" i="1"/>
  <c r="V517" i="1"/>
  <c r="V300" i="1"/>
  <c r="V509" i="1"/>
  <c r="V508" i="1"/>
  <c r="V299"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18" i="1"/>
  <c r="V354" i="1"/>
  <c r="V353" i="1"/>
  <c r="V352" i="1"/>
  <c r="V351" i="1"/>
  <c r="V350" i="1"/>
  <c r="V349" i="1"/>
  <c r="V348" i="1"/>
  <c r="V347" i="1"/>
  <c r="V97" i="1"/>
  <c r="V96" i="1"/>
  <c r="V95" i="1"/>
  <c r="V94" i="1"/>
  <c r="V93" i="1"/>
  <c r="V92" i="1"/>
  <c r="V91" i="1"/>
  <c r="V90" i="1"/>
  <c r="V89" i="1"/>
  <c r="V88" i="1"/>
  <c r="V87" i="1"/>
  <c r="V86" i="1"/>
  <c r="V85" i="1"/>
  <c r="V84" i="1"/>
  <c r="V83" i="1"/>
  <c r="V82" i="1"/>
  <c r="V503" i="1"/>
  <c r="V502" i="1"/>
  <c r="V501" i="1"/>
  <c r="V484" i="1"/>
  <c r="V483" i="1"/>
  <c r="V482" i="1"/>
  <c r="V500" i="1"/>
  <c r="V499" i="1"/>
  <c r="V247" i="1"/>
  <c r="V246" i="1"/>
  <c r="V245" i="1"/>
  <c r="V244" i="1"/>
  <c r="V243" i="1"/>
  <c r="V242" i="1"/>
  <c r="V241" i="1"/>
  <c r="V240" i="1"/>
  <c r="V239" i="1"/>
  <c r="V238" i="1"/>
  <c r="V237" i="1"/>
  <c r="V14" i="1"/>
  <c r="V236" i="1"/>
  <c r="V13"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515" i="1"/>
  <c r="V489" i="1"/>
  <c r="V488" i="1"/>
  <c r="V524" i="1"/>
  <c r="V443" i="1"/>
  <c r="V523" i="1"/>
  <c r="V81" i="1"/>
  <c r="V511" i="1"/>
  <c r="V487" i="1"/>
  <c r="V486" i="1"/>
  <c r="V514" i="1"/>
  <c r="V442" i="1"/>
  <c r="V522" i="1"/>
  <c r="V80" i="1"/>
  <c r="V79" i="1"/>
  <c r="V78" i="1"/>
  <c r="V77" i="1"/>
  <c r="V76" i="1"/>
  <c r="V75" i="1"/>
  <c r="V74" i="1"/>
  <c r="V73" i="1"/>
  <c r="V441" i="1"/>
  <c r="V72" i="1"/>
  <c r="V440" i="1"/>
  <c r="V439" i="1"/>
  <c r="V438" i="1"/>
  <c r="V437" i="1"/>
  <c r="V71" i="1"/>
  <c r="V70" i="1"/>
  <c r="V69" i="1"/>
  <c r="V68" i="1"/>
  <c r="V67" i="1"/>
  <c r="V436" i="1"/>
  <c r="V66" i="1"/>
  <c r="V435" i="1"/>
  <c r="V65" i="1"/>
  <c r="V64" i="1"/>
  <c r="V434" i="1"/>
  <c r="V433" i="1"/>
  <c r="V63" i="1"/>
  <c r="V62" i="1"/>
  <c r="V61" i="1"/>
  <c r="V99" i="1"/>
  <c r="V98" i="1"/>
  <c r="V454" i="1"/>
  <c r="V453" i="1"/>
  <c r="V452" i="1"/>
  <c r="V451" i="1"/>
  <c r="V450" i="1"/>
  <c r="V449" i="1"/>
  <c r="V448" i="1"/>
  <c r="V447" i="1"/>
  <c r="V446" i="1"/>
  <c r="V445" i="1"/>
  <c r="V444" i="1"/>
  <c r="V477" i="1"/>
  <c r="V476" i="1"/>
  <c r="V475" i="1"/>
  <c r="V474" i="1"/>
  <c r="V473" i="1"/>
  <c r="V472" i="1"/>
  <c r="V471" i="1"/>
  <c r="V470" i="1"/>
  <c r="V469" i="1"/>
  <c r="V468" i="1"/>
  <c r="V467" i="1"/>
  <c r="V466" i="1"/>
  <c r="V465" i="1"/>
  <c r="V464" i="1"/>
  <c r="V463" i="1"/>
  <c r="V462" i="1"/>
  <c r="V461" i="1"/>
  <c r="V460" i="1"/>
  <c r="V459" i="1"/>
  <c r="V458" i="1"/>
  <c r="V457" i="1"/>
  <c r="V456" i="1"/>
  <c r="V455" i="1"/>
  <c r="V19"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510" i="1"/>
  <c r="U298" i="1"/>
  <c r="U297" i="1"/>
  <c r="U296" i="1"/>
  <c r="U295" i="1"/>
  <c r="U294" i="1"/>
  <c r="U293" i="1"/>
  <c r="U292" i="1"/>
  <c r="U17" i="1"/>
  <c r="U291" i="1"/>
  <c r="U289" i="1"/>
  <c r="U287" i="1"/>
  <c r="U16" i="1"/>
  <c r="U286" i="1"/>
  <c r="U285" i="1"/>
  <c r="U15" i="1"/>
  <c r="U284" i="1"/>
  <c r="U283" i="1"/>
  <c r="U282" i="1"/>
  <c r="U281" i="1"/>
  <c r="U280" i="1"/>
  <c r="U279" i="1"/>
  <c r="U278" i="1"/>
  <c r="U277" i="1"/>
  <c r="U276" i="1"/>
  <c r="U275" i="1"/>
  <c r="U274" i="1"/>
  <c r="U273" i="1"/>
  <c r="U272" i="1"/>
  <c r="U271" i="1"/>
  <c r="U270" i="1"/>
  <c r="U269" i="1"/>
  <c r="U268" i="1"/>
  <c r="U267" i="1"/>
  <c r="U266" i="1"/>
  <c r="U265" i="1"/>
  <c r="U264" i="1"/>
  <c r="U263" i="1"/>
  <c r="U262" i="1"/>
  <c r="U261" i="1"/>
  <c r="U260" i="1"/>
  <c r="U259" i="1"/>
  <c r="U258" i="1"/>
  <c r="U257" i="1"/>
  <c r="U256" i="1"/>
  <c r="U255" i="1"/>
  <c r="U254" i="1"/>
  <c r="U253" i="1"/>
  <c r="U252" i="1"/>
  <c r="U251" i="1"/>
  <c r="U250" i="1"/>
  <c r="U249" i="1"/>
  <c r="U248" i="1"/>
  <c r="U507" i="1"/>
  <c r="U506" i="1"/>
  <c r="U505" i="1"/>
  <c r="U504" i="1"/>
  <c r="U485"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12" i="1"/>
  <c r="U531" i="1"/>
  <c r="U530" i="1"/>
  <c r="U529" i="1"/>
  <c r="U528" i="1"/>
  <c r="U527" i="1"/>
  <c r="U526" i="1"/>
  <c r="U498" i="1"/>
  <c r="U497" i="1"/>
  <c r="U496" i="1"/>
  <c r="U495" i="1"/>
  <c r="U494" i="1"/>
  <c r="U525" i="1"/>
  <c r="U493" i="1"/>
  <c r="U512" i="1"/>
  <c r="U492" i="1"/>
  <c r="U516" i="1"/>
  <c r="U491" i="1"/>
  <c r="U481" i="1"/>
  <c r="U480" i="1"/>
  <c r="U490" i="1"/>
  <c r="U479" i="1"/>
  <c r="U478"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521" i="1"/>
  <c r="U520" i="1"/>
  <c r="U519" i="1"/>
  <c r="U513" i="1"/>
  <c r="U518" i="1"/>
  <c r="U517" i="1"/>
  <c r="U300" i="1"/>
  <c r="U509" i="1"/>
  <c r="U508" i="1"/>
  <c r="U299" i="1"/>
  <c r="U404" i="1"/>
  <c r="U403" i="1"/>
  <c r="U402" i="1"/>
  <c r="U401" i="1"/>
  <c r="U400" i="1"/>
  <c r="U399" i="1"/>
  <c r="U398" i="1"/>
  <c r="U397" i="1"/>
  <c r="U396" i="1"/>
  <c r="U395"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368" i="1"/>
  <c r="U367" i="1"/>
  <c r="U366" i="1"/>
  <c r="U365" i="1"/>
  <c r="U364" i="1"/>
  <c r="U363" i="1"/>
  <c r="U362" i="1"/>
  <c r="U361" i="1"/>
  <c r="U360" i="1"/>
  <c r="U359" i="1"/>
  <c r="U358" i="1"/>
  <c r="U357" i="1"/>
  <c r="U356" i="1"/>
  <c r="U355" i="1"/>
  <c r="U18" i="1"/>
  <c r="U354" i="1"/>
  <c r="U353" i="1"/>
  <c r="U352" i="1"/>
  <c r="U351" i="1"/>
  <c r="U350" i="1"/>
  <c r="U349" i="1"/>
  <c r="U348" i="1"/>
  <c r="U347" i="1"/>
  <c r="U97" i="1"/>
  <c r="U96" i="1"/>
  <c r="U95" i="1"/>
  <c r="U94" i="1"/>
  <c r="U93" i="1"/>
  <c r="U92" i="1"/>
  <c r="U91" i="1"/>
  <c r="U90" i="1"/>
  <c r="U89" i="1"/>
  <c r="U88" i="1"/>
  <c r="U87" i="1"/>
  <c r="U86" i="1"/>
  <c r="U85" i="1"/>
  <c r="U84" i="1"/>
  <c r="U83" i="1"/>
  <c r="U82" i="1"/>
  <c r="U503" i="1"/>
  <c r="U502" i="1"/>
  <c r="U501" i="1"/>
  <c r="U484" i="1"/>
  <c r="U483" i="1"/>
  <c r="U482" i="1"/>
  <c r="U500" i="1"/>
  <c r="U499" i="1"/>
  <c r="U247" i="1"/>
  <c r="U246" i="1"/>
  <c r="U245" i="1"/>
  <c r="U244" i="1"/>
  <c r="U243" i="1"/>
  <c r="U242" i="1"/>
  <c r="U241" i="1"/>
  <c r="U240" i="1"/>
  <c r="U239" i="1"/>
  <c r="U238" i="1"/>
  <c r="U237" i="1"/>
  <c r="U14" i="1"/>
  <c r="U236" i="1"/>
  <c r="U13"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207" i="1"/>
  <c r="U206" i="1"/>
  <c r="U205" i="1"/>
  <c r="U204" i="1"/>
  <c r="U203" i="1"/>
  <c r="U202" i="1"/>
  <c r="U201" i="1"/>
  <c r="U200" i="1"/>
  <c r="U199" i="1"/>
  <c r="U198" i="1"/>
  <c r="U197" i="1"/>
  <c r="U196" i="1"/>
  <c r="U515" i="1"/>
  <c r="U489" i="1"/>
  <c r="U488" i="1"/>
  <c r="U524" i="1"/>
  <c r="U443" i="1"/>
  <c r="U523" i="1"/>
  <c r="U81" i="1"/>
  <c r="U511" i="1"/>
  <c r="U487" i="1"/>
  <c r="U486" i="1"/>
  <c r="U514" i="1"/>
  <c r="U442" i="1"/>
  <c r="U522" i="1"/>
  <c r="U80" i="1"/>
  <c r="U79" i="1"/>
  <c r="U78" i="1"/>
  <c r="U77" i="1"/>
  <c r="U76" i="1"/>
  <c r="U75" i="1"/>
  <c r="U74" i="1"/>
  <c r="U73" i="1"/>
  <c r="U441" i="1"/>
  <c r="U72" i="1"/>
  <c r="U440" i="1"/>
  <c r="U439" i="1"/>
  <c r="U438" i="1"/>
  <c r="U437" i="1"/>
  <c r="U71" i="1"/>
  <c r="U70" i="1"/>
  <c r="U69" i="1"/>
  <c r="U68" i="1"/>
  <c r="U67" i="1"/>
  <c r="U436" i="1"/>
  <c r="U66" i="1"/>
  <c r="U435" i="1"/>
  <c r="U65" i="1"/>
  <c r="U64" i="1"/>
  <c r="U434" i="1"/>
  <c r="U433" i="1"/>
  <c r="U63" i="1"/>
  <c r="U62" i="1"/>
  <c r="U61" i="1"/>
  <c r="U98" i="1"/>
  <c r="U454" i="1"/>
  <c r="U453" i="1"/>
  <c r="U452" i="1"/>
  <c r="U451" i="1"/>
  <c r="U450" i="1"/>
  <c r="U449" i="1"/>
  <c r="U448" i="1"/>
  <c r="U447" i="1"/>
  <c r="U446" i="1"/>
  <c r="U445" i="1"/>
  <c r="U444" i="1"/>
  <c r="U477" i="1"/>
  <c r="U476" i="1"/>
  <c r="U475" i="1"/>
  <c r="U474" i="1"/>
  <c r="U473" i="1"/>
  <c r="U472" i="1"/>
  <c r="U471" i="1"/>
  <c r="U470" i="1"/>
  <c r="U469" i="1"/>
  <c r="U468" i="1"/>
  <c r="U467" i="1"/>
  <c r="U466" i="1"/>
  <c r="U465" i="1"/>
  <c r="U464" i="1"/>
  <c r="U463" i="1"/>
  <c r="U462" i="1"/>
  <c r="U461" i="1"/>
  <c r="U460" i="1"/>
  <c r="U459" i="1"/>
  <c r="U458" i="1"/>
  <c r="U457" i="1"/>
  <c r="U456" i="1"/>
  <c r="U455" i="1"/>
  <c r="U19" i="1"/>
  <c r="U432" i="1"/>
  <c r="U431" i="1"/>
  <c r="U430" i="1"/>
  <c r="U429" i="1"/>
  <c r="U428" i="1"/>
  <c r="U427" i="1"/>
  <c r="U426" i="1"/>
  <c r="U425" i="1"/>
  <c r="U424" i="1"/>
  <c r="U423" i="1"/>
  <c r="U422" i="1"/>
  <c r="U421" i="1"/>
  <c r="U420" i="1"/>
  <c r="U419" i="1"/>
  <c r="U418" i="1"/>
  <c r="U417" i="1"/>
  <c r="U416" i="1"/>
  <c r="U415" i="1"/>
  <c r="U414" i="1"/>
  <c r="U413" i="1"/>
  <c r="U412" i="1"/>
  <c r="U411" i="1"/>
  <c r="U410" i="1"/>
  <c r="U409" i="1"/>
  <c r="U408" i="1"/>
  <c r="U407" i="1"/>
  <c r="U406" i="1"/>
  <c r="U405" i="1"/>
  <c r="U510" i="1"/>
  <c r="S298" i="1"/>
  <c r="AI298" i="1" s="1"/>
  <c r="S297" i="1"/>
  <c r="AI297" i="1" s="1"/>
  <c r="S296" i="1"/>
  <c r="AI296" i="1" s="1"/>
  <c r="S295" i="1"/>
  <c r="AI295" i="1" s="1"/>
  <c r="S294" i="1"/>
  <c r="AI294" i="1" s="1"/>
  <c r="S293" i="1"/>
  <c r="AI293" i="1" s="1"/>
  <c r="S292" i="1"/>
  <c r="AI292" i="1" s="1"/>
  <c r="S17" i="1"/>
  <c r="AI17" i="1" s="1"/>
  <c r="S291" i="1"/>
  <c r="AI291" i="1" s="1"/>
  <c r="S289" i="1"/>
  <c r="AI289" i="1" s="1"/>
  <c r="S287" i="1"/>
  <c r="AI287" i="1" s="1"/>
  <c r="S16" i="1"/>
  <c r="AI16" i="1" s="1"/>
  <c r="S286" i="1"/>
  <c r="AI286" i="1" s="1"/>
  <c r="S285" i="1"/>
  <c r="AI285" i="1" s="1"/>
  <c r="S15" i="1"/>
  <c r="AI15" i="1" s="1"/>
  <c r="S284" i="1"/>
  <c r="AI284" i="1" s="1"/>
  <c r="S283" i="1"/>
  <c r="AI283" i="1" s="1"/>
  <c r="S282" i="1"/>
  <c r="AI282" i="1" s="1"/>
  <c r="S281" i="1"/>
  <c r="AI281" i="1" s="1"/>
  <c r="S280" i="1"/>
  <c r="AI280" i="1" s="1"/>
  <c r="S279" i="1"/>
  <c r="AI279" i="1" s="1"/>
  <c r="S278" i="1"/>
  <c r="AI278" i="1" s="1"/>
  <c r="S277" i="1"/>
  <c r="AI277" i="1" s="1"/>
  <c r="S276" i="1"/>
  <c r="AI276" i="1" s="1"/>
  <c r="S275" i="1"/>
  <c r="AI275" i="1" s="1"/>
  <c r="S274" i="1"/>
  <c r="AI274" i="1" s="1"/>
  <c r="S273" i="1"/>
  <c r="AI273" i="1" s="1"/>
  <c r="S272" i="1"/>
  <c r="AI272" i="1" s="1"/>
  <c r="S271" i="1"/>
  <c r="AI271" i="1" s="1"/>
  <c r="S270" i="1"/>
  <c r="AI270" i="1" s="1"/>
  <c r="S269" i="1"/>
  <c r="AI269" i="1" s="1"/>
  <c r="S268" i="1"/>
  <c r="AI268" i="1" s="1"/>
  <c r="S267" i="1"/>
  <c r="AI267" i="1" s="1"/>
  <c r="S266" i="1"/>
  <c r="AI266" i="1" s="1"/>
  <c r="S265" i="1"/>
  <c r="AI265" i="1" s="1"/>
  <c r="S264" i="1"/>
  <c r="AI264" i="1" s="1"/>
  <c r="S263" i="1"/>
  <c r="AI263" i="1" s="1"/>
  <c r="S262" i="1"/>
  <c r="AI262" i="1" s="1"/>
  <c r="S261" i="1"/>
  <c r="AI261" i="1" s="1"/>
  <c r="S260" i="1"/>
  <c r="AI260" i="1" s="1"/>
  <c r="S259" i="1"/>
  <c r="AI259" i="1" s="1"/>
  <c r="S258" i="1"/>
  <c r="AI258" i="1" s="1"/>
  <c r="S257" i="1"/>
  <c r="AI257" i="1" s="1"/>
  <c r="S256" i="1"/>
  <c r="AI256" i="1" s="1"/>
  <c r="S255" i="1"/>
  <c r="AI255" i="1" s="1"/>
  <c r="S254" i="1"/>
  <c r="AI254" i="1" s="1"/>
  <c r="S253" i="1"/>
  <c r="AI253" i="1" s="1"/>
  <c r="S252" i="1"/>
  <c r="AI252" i="1" s="1"/>
  <c r="S251" i="1"/>
  <c r="AI251" i="1" s="1"/>
  <c r="S250" i="1"/>
  <c r="AI250" i="1" s="1"/>
  <c r="S249" i="1"/>
  <c r="AI249" i="1" s="1"/>
  <c r="S248" i="1"/>
  <c r="AI248" i="1" s="1"/>
  <c r="S507" i="1"/>
  <c r="AI507" i="1" s="1"/>
  <c r="S506" i="1"/>
  <c r="AI506" i="1" s="1"/>
  <c r="S505" i="1"/>
  <c r="AI505" i="1" s="1"/>
  <c r="S504" i="1"/>
  <c r="AI504" i="1" s="1"/>
  <c r="S485" i="1"/>
  <c r="AI485" i="1" s="1"/>
  <c r="S195" i="1"/>
  <c r="AI195" i="1" s="1"/>
  <c r="S194" i="1"/>
  <c r="AI194" i="1" s="1"/>
  <c r="S193" i="1"/>
  <c r="AI193" i="1" s="1"/>
  <c r="S192" i="1"/>
  <c r="AI192" i="1" s="1"/>
  <c r="S191" i="1"/>
  <c r="AI191" i="1" s="1"/>
  <c r="S190" i="1"/>
  <c r="AI190" i="1" s="1"/>
  <c r="S189" i="1"/>
  <c r="AI189" i="1" s="1"/>
  <c r="S188" i="1"/>
  <c r="AI188" i="1" s="1"/>
  <c r="S187" i="1"/>
  <c r="AI187" i="1" s="1"/>
  <c r="S186" i="1"/>
  <c r="AI186" i="1" s="1"/>
  <c r="S185" i="1"/>
  <c r="AI185" i="1" s="1"/>
  <c r="S184" i="1"/>
  <c r="AI184" i="1" s="1"/>
  <c r="S183" i="1"/>
  <c r="AI183" i="1" s="1"/>
  <c r="S182" i="1"/>
  <c r="AI182" i="1" s="1"/>
  <c r="S181" i="1"/>
  <c r="AI181" i="1" s="1"/>
  <c r="S180" i="1"/>
  <c r="AI180" i="1" s="1"/>
  <c r="S179" i="1"/>
  <c r="AI179" i="1" s="1"/>
  <c r="S178" i="1"/>
  <c r="AI178" i="1" s="1"/>
  <c r="S177" i="1"/>
  <c r="AI177" i="1" s="1"/>
  <c r="S176" i="1"/>
  <c r="AI176" i="1" s="1"/>
  <c r="S175" i="1"/>
  <c r="AI175" i="1" s="1"/>
  <c r="S174" i="1"/>
  <c r="AI174" i="1" s="1"/>
  <c r="S173" i="1"/>
  <c r="AI173" i="1" s="1"/>
  <c r="S172" i="1"/>
  <c r="AI172" i="1" s="1"/>
  <c r="S171" i="1"/>
  <c r="AI171" i="1" s="1"/>
  <c r="S170" i="1"/>
  <c r="AI170" i="1" s="1"/>
  <c r="S169" i="1"/>
  <c r="AI169" i="1" s="1"/>
  <c r="S168" i="1"/>
  <c r="AI168" i="1" s="1"/>
  <c r="S167" i="1"/>
  <c r="AI167" i="1" s="1"/>
  <c r="S166" i="1"/>
  <c r="AI166" i="1" s="1"/>
  <c r="S165" i="1"/>
  <c r="AI165" i="1" s="1"/>
  <c r="S164" i="1"/>
  <c r="AI164" i="1" s="1"/>
  <c r="S163" i="1"/>
  <c r="AI163" i="1" s="1"/>
  <c r="S162" i="1"/>
  <c r="AI162" i="1" s="1"/>
  <c r="S161" i="1"/>
  <c r="AI161" i="1" s="1"/>
  <c r="S160" i="1"/>
  <c r="AI160" i="1" s="1"/>
  <c r="S159" i="1"/>
  <c r="AI159" i="1" s="1"/>
  <c r="S158" i="1"/>
  <c r="AI158" i="1" s="1"/>
  <c r="S157" i="1"/>
  <c r="AI157" i="1" s="1"/>
  <c r="S156" i="1"/>
  <c r="AI156" i="1" s="1"/>
  <c r="S155" i="1"/>
  <c r="AI155" i="1" s="1"/>
  <c r="S154" i="1"/>
  <c r="AI154" i="1" s="1"/>
  <c r="S153" i="1"/>
  <c r="AI153" i="1" s="1"/>
  <c r="S152" i="1"/>
  <c r="AI152" i="1" s="1"/>
  <c r="S151" i="1"/>
  <c r="AI151" i="1" s="1"/>
  <c r="S150" i="1"/>
  <c r="AI150" i="1" s="1"/>
  <c r="S149" i="1"/>
  <c r="AI149" i="1" s="1"/>
  <c r="S148" i="1"/>
  <c r="AI148" i="1" s="1"/>
  <c r="S147" i="1"/>
  <c r="AI147" i="1" s="1"/>
  <c r="S146" i="1"/>
  <c r="AI146" i="1" s="1"/>
  <c r="S145" i="1"/>
  <c r="AI145" i="1" s="1"/>
  <c r="S144" i="1"/>
  <c r="AI144" i="1" s="1"/>
  <c r="S143" i="1"/>
  <c r="AI143" i="1" s="1"/>
  <c r="S142" i="1"/>
  <c r="AI142" i="1" s="1"/>
  <c r="S141" i="1"/>
  <c r="AI141" i="1" s="1"/>
  <c r="S140" i="1"/>
  <c r="AI140" i="1" s="1"/>
  <c r="S139" i="1"/>
  <c r="AI139" i="1" s="1"/>
  <c r="S138" i="1"/>
  <c r="AI138" i="1" s="1"/>
  <c r="S137" i="1"/>
  <c r="AI137" i="1" s="1"/>
  <c r="S136" i="1"/>
  <c r="AI136" i="1" s="1"/>
  <c r="S135" i="1"/>
  <c r="AI135" i="1" s="1"/>
  <c r="S134" i="1"/>
  <c r="AI134" i="1" s="1"/>
  <c r="S133" i="1"/>
  <c r="AI133" i="1" s="1"/>
  <c r="S132" i="1"/>
  <c r="AI132" i="1" s="1"/>
  <c r="S131" i="1"/>
  <c r="AI131" i="1" s="1"/>
  <c r="S130" i="1"/>
  <c r="AI130" i="1" s="1"/>
  <c r="S129" i="1"/>
  <c r="AI129" i="1" s="1"/>
  <c r="S128" i="1"/>
  <c r="AI128" i="1" s="1"/>
  <c r="S127" i="1"/>
  <c r="AI127" i="1" s="1"/>
  <c r="S126" i="1"/>
  <c r="AI126" i="1" s="1"/>
  <c r="S125" i="1"/>
  <c r="AI125" i="1" s="1"/>
  <c r="S124" i="1"/>
  <c r="AI124" i="1" s="1"/>
  <c r="S123" i="1"/>
  <c r="AI123" i="1" s="1"/>
  <c r="S122" i="1"/>
  <c r="AI122" i="1" s="1"/>
  <c r="S121" i="1"/>
  <c r="AI121" i="1" s="1"/>
  <c r="S120" i="1"/>
  <c r="AI120" i="1" s="1"/>
  <c r="S119" i="1"/>
  <c r="AI119" i="1" s="1"/>
  <c r="S118" i="1"/>
  <c r="AI118" i="1" s="1"/>
  <c r="S117" i="1"/>
  <c r="AI117" i="1" s="1"/>
  <c r="S116" i="1"/>
  <c r="AI116" i="1" s="1"/>
  <c r="S115" i="1"/>
  <c r="AI115" i="1" s="1"/>
  <c r="S114" i="1"/>
  <c r="AI114" i="1" s="1"/>
  <c r="S113" i="1"/>
  <c r="AI113" i="1" s="1"/>
  <c r="S112" i="1"/>
  <c r="AI112" i="1" s="1"/>
  <c r="S111" i="1"/>
  <c r="AI111" i="1" s="1"/>
  <c r="S110" i="1"/>
  <c r="AI110" i="1" s="1"/>
  <c r="S109" i="1"/>
  <c r="AI109" i="1" s="1"/>
  <c r="S108" i="1"/>
  <c r="AI108" i="1" s="1"/>
  <c r="S107" i="1"/>
  <c r="AI107" i="1" s="1"/>
  <c r="S106" i="1"/>
  <c r="AI106" i="1" s="1"/>
  <c r="S105" i="1"/>
  <c r="AI105" i="1" s="1"/>
  <c r="S104" i="1"/>
  <c r="AI104" i="1" s="1"/>
  <c r="S103" i="1"/>
  <c r="AI103" i="1" s="1"/>
  <c r="S102" i="1"/>
  <c r="AI102" i="1" s="1"/>
  <c r="S101" i="1"/>
  <c r="AI101" i="1" s="1"/>
  <c r="S100" i="1"/>
  <c r="AI100" i="1" s="1"/>
  <c r="S12" i="1"/>
  <c r="AI12" i="1" s="1"/>
  <c r="S531" i="1"/>
  <c r="AI531" i="1" s="1"/>
  <c r="S530" i="1"/>
  <c r="AI530" i="1" s="1"/>
  <c r="S529" i="1"/>
  <c r="AI529" i="1" s="1"/>
  <c r="S528" i="1"/>
  <c r="AI528" i="1" s="1"/>
  <c r="S527" i="1"/>
  <c r="AI527" i="1" s="1"/>
  <c r="S526" i="1"/>
  <c r="AI526" i="1" s="1"/>
  <c r="S498" i="1"/>
  <c r="AI498" i="1" s="1"/>
  <c r="S497" i="1"/>
  <c r="AI497" i="1" s="1"/>
  <c r="S496" i="1"/>
  <c r="AI496" i="1" s="1"/>
  <c r="S495" i="1"/>
  <c r="AI495" i="1" s="1"/>
  <c r="S494" i="1"/>
  <c r="AI494" i="1" s="1"/>
  <c r="S525" i="1"/>
  <c r="AI525" i="1" s="1"/>
  <c r="S493" i="1"/>
  <c r="AI493" i="1" s="1"/>
  <c r="S512" i="1"/>
  <c r="AI512" i="1" s="1"/>
  <c r="S492" i="1"/>
  <c r="AI492" i="1" s="1"/>
  <c r="S516" i="1"/>
  <c r="AI516" i="1" s="1"/>
  <c r="S491" i="1"/>
  <c r="AI491" i="1" s="1"/>
  <c r="S481" i="1"/>
  <c r="AI481" i="1" s="1"/>
  <c r="S480" i="1"/>
  <c r="AI480" i="1" s="1"/>
  <c r="S490" i="1"/>
  <c r="AI490" i="1" s="1"/>
  <c r="S479" i="1"/>
  <c r="AI479" i="1" s="1"/>
  <c r="S478" i="1"/>
  <c r="AI478" i="1" s="1"/>
  <c r="S346" i="1"/>
  <c r="AI346" i="1" s="1"/>
  <c r="S345" i="1"/>
  <c r="AI345" i="1" s="1"/>
  <c r="S344" i="1"/>
  <c r="AI344" i="1" s="1"/>
  <c r="S343" i="1"/>
  <c r="AI343" i="1" s="1"/>
  <c r="S342" i="1"/>
  <c r="AI342" i="1" s="1"/>
  <c r="S341" i="1"/>
  <c r="AI341" i="1" s="1"/>
  <c r="S340" i="1"/>
  <c r="AI340" i="1" s="1"/>
  <c r="S339" i="1"/>
  <c r="AI339" i="1" s="1"/>
  <c r="S338" i="1"/>
  <c r="AI338" i="1" s="1"/>
  <c r="S337" i="1"/>
  <c r="AI337" i="1" s="1"/>
  <c r="S336" i="1"/>
  <c r="AI336" i="1" s="1"/>
  <c r="S335" i="1"/>
  <c r="AI335" i="1" s="1"/>
  <c r="S334" i="1"/>
  <c r="AI334" i="1" s="1"/>
  <c r="S333" i="1"/>
  <c r="AI333" i="1" s="1"/>
  <c r="S332" i="1"/>
  <c r="AI332" i="1" s="1"/>
  <c r="S331" i="1"/>
  <c r="AI331" i="1" s="1"/>
  <c r="S330" i="1"/>
  <c r="AI330" i="1" s="1"/>
  <c r="S329" i="1"/>
  <c r="AI329" i="1" s="1"/>
  <c r="S328" i="1"/>
  <c r="AI328" i="1" s="1"/>
  <c r="S327" i="1"/>
  <c r="AI327" i="1" s="1"/>
  <c r="S326" i="1"/>
  <c r="AI326" i="1" s="1"/>
  <c r="S325" i="1"/>
  <c r="AI325" i="1" s="1"/>
  <c r="S324" i="1"/>
  <c r="AI324" i="1" s="1"/>
  <c r="S323" i="1"/>
  <c r="AI323" i="1" s="1"/>
  <c r="S322" i="1"/>
  <c r="AI322" i="1" s="1"/>
  <c r="S321" i="1"/>
  <c r="AI321" i="1" s="1"/>
  <c r="S320" i="1"/>
  <c r="AI320" i="1" s="1"/>
  <c r="S319" i="1"/>
  <c r="AI319" i="1" s="1"/>
  <c r="S318" i="1"/>
  <c r="AI318" i="1" s="1"/>
  <c r="S317" i="1"/>
  <c r="AI317" i="1" s="1"/>
  <c r="S316" i="1"/>
  <c r="AI316" i="1" s="1"/>
  <c r="S315" i="1"/>
  <c r="AI315" i="1" s="1"/>
  <c r="S314" i="1"/>
  <c r="AI314" i="1" s="1"/>
  <c r="S313" i="1"/>
  <c r="AI313" i="1" s="1"/>
  <c r="S312" i="1"/>
  <c r="AI312" i="1" s="1"/>
  <c r="S311" i="1"/>
  <c r="AI311" i="1" s="1"/>
  <c r="S310" i="1"/>
  <c r="AI310" i="1" s="1"/>
  <c r="S309" i="1"/>
  <c r="AI309" i="1" s="1"/>
  <c r="S308" i="1"/>
  <c r="AI308" i="1" s="1"/>
  <c r="S307" i="1"/>
  <c r="AI307" i="1" s="1"/>
  <c r="S306" i="1"/>
  <c r="AI306" i="1" s="1"/>
  <c r="S305" i="1"/>
  <c r="AI305" i="1" s="1"/>
  <c r="S304" i="1"/>
  <c r="AI304" i="1" s="1"/>
  <c r="S303" i="1"/>
  <c r="AI303" i="1" s="1"/>
  <c r="S302" i="1"/>
  <c r="AI302" i="1" s="1"/>
  <c r="S301" i="1"/>
  <c r="AI301" i="1" s="1"/>
  <c r="S521" i="1"/>
  <c r="AI521" i="1" s="1"/>
  <c r="S520" i="1"/>
  <c r="AI520" i="1" s="1"/>
  <c r="S519" i="1"/>
  <c r="AI519" i="1" s="1"/>
  <c r="S513" i="1"/>
  <c r="AI513" i="1" s="1"/>
  <c r="S518" i="1"/>
  <c r="AI518" i="1" s="1"/>
  <c r="S517" i="1"/>
  <c r="AI517" i="1" s="1"/>
  <c r="S300" i="1"/>
  <c r="AI300" i="1" s="1"/>
  <c r="S509" i="1"/>
  <c r="AI509" i="1" s="1"/>
  <c r="S508" i="1"/>
  <c r="AI508" i="1" s="1"/>
  <c r="S299" i="1"/>
  <c r="AI299" i="1" s="1"/>
  <c r="S404" i="1"/>
  <c r="AI404" i="1" s="1"/>
  <c r="S403" i="1"/>
  <c r="AI403" i="1" s="1"/>
  <c r="S402" i="1"/>
  <c r="AI402" i="1" s="1"/>
  <c r="S401" i="1"/>
  <c r="AI401" i="1" s="1"/>
  <c r="S400" i="1"/>
  <c r="AI400" i="1" s="1"/>
  <c r="S399" i="1"/>
  <c r="AI399" i="1" s="1"/>
  <c r="S398" i="1"/>
  <c r="AI398" i="1" s="1"/>
  <c r="S397" i="1"/>
  <c r="AI397" i="1" s="1"/>
  <c r="S396" i="1"/>
  <c r="AI396" i="1" s="1"/>
  <c r="S395" i="1"/>
  <c r="AI395" i="1" s="1"/>
  <c r="S394" i="1"/>
  <c r="AI394" i="1" s="1"/>
  <c r="S393" i="1"/>
  <c r="AI393" i="1" s="1"/>
  <c r="S392" i="1"/>
  <c r="AI392" i="1" s="1"/>
  <c r="S391" i="1"/>
  <c r="AI391" i="1" s="1"/>
  <c r="S390" i="1"/>
  <c r="AI390" i="1" s="1"/>
  <c r="S389" i="1"/>
  <c r="AI389" i="1" s="1"/>
  <c r="S388" i="1"/>
  <c r="AI388" i="1" s="1"/>
  <c r="S387" i="1"/>
  <c r="AI387" i="1" s="1"/>
  <c r="S386" i="1"/>
  <c r="AI386" i="1" s="1"/>
  <c r="S385" i="1"/>
  <c r="AI385" i="1" s="1"/>
  <c r="S384" i="1"/>
  <c r="AI384" i="1" s="1"/>
  <c r="S383" i="1"/>
  <c r="AI383" i="1" s="1"/>
  <c r="S382" i="1"/>
  <c r="AI382" i="1" s="1"/>
  <c r="S381" i="1"/>
  <c r="AI381" i="1" s="1"/>
  <c r="S380" i="1"/>
  <c r="AI380" i="1" s="1"/>
  <c r="S379" i="1"/>
  <c r="AI379" i="1" s="1"/>
  <c r="S378" i="1"/>
  <c r="AI378" i="1" s="1"/>
  <c r="S377" i="1"/>
  <c r="AI377" i="1" s="1"/>
  <c r="S376" i="1"/>
  <c r="AI376" i="1" s="1"/>
  <c r="S375" i="1"/>
  <c r="AI375" i="1" s="1"/>
  <c r="S374" i="1"/>
  <c r="AI374" i="1" s="1"/>
  <c r="S373" i="1"/>
  <c r="AI373" i="1" s="1"/>
  <c r="S372" i="1"/>
  <c r="AI372" i="1" s="1"/>
  <c r="S371" i="1"/>
  <c r="AI371" i="1" s="1"/>
  <c r="S370" i="1"/>
  <c r="AI370" i="1" s="1"/>
  <c r="S369" i="1"/>
  <c r="AI369" i="1" s="1"/>
  <c r="S368" i="1"/>
  <c r="AI368" i="1" s="1"/>
  <c r="S367" i="1"/>
  <c r="AI367" i="1" s="1"/>
  <c r="S366" i="1"/>
  <c r="AI366" i="1" s="1"/>
  <c r="S365" i="1"/>
  <c r="AI365" i="1" s="1"/>
  <c r="S364" i="1"/>
  <c r="AI364" i="1" s="1"/>
  <c r="S363" i="1"/>
  <c r="AI363" i="1" s="1"/>
  <c r="S362" i="1"/>
  <c r="AI362" i="1" s="1"/>
  <c r="S361" i="1"/>
  <c r="AI361" i="1" s="1"/>
  <c r="S360" i="1"/>
  <c r="AI360" i="1" s="1"/>
  <c r="S359" i="1"/>
  <c r="AI359" i="1" s="1"/>
  <c r="S358" i="1"/>
  <c r="AI358" i="1" s="1"/>
  <c r="S357" i="1"/>
  <c r="AI357" i="1" s="1"/>
  <c r="S356" i="1"/>
  <c r="AI356" i="1" s="1"/>
  <c r="S355" i="1"/>
  <c r="AI355" i="1" s="1"/>
  <c r="S18" i="1"/>
  <c r="AI18" i="1" s="1"/>
  <c r="S354" i="1"/>
  <c r="AI354" i="1" s="1"/>
  <c r="S353" i="1"/>
  <c r="AI353" i="1" s="1"/>
  <c r="S352" i="1"/>
  <c r="AI352" i="1" s="1"/>
  <c r="S351" i="1"/>
  <c r="AI351" i="1" s="1"/>
  <c r="S350" i="1"/>
  <c r="AI350" i="1" s="1"/>
  <c r="S349" i="1"/>
  <c r="AI349" i="1" s="1"/>
  <c r="S348" i="1"/>
  <c r="AI348" i="1" s="1"/>
  <c r="S347" i="1"/>
  <c r="AI347" i="1" s="1"/>
  <c r="S97" i="1"/>
  <c r="AI97" i="1" s="1"/>
  <c r="S96" i="1"/>
  <c r="AI96" i="1" s="1"/>
  <c r="S95" i="1"/>
  <c r="AI95" i="1" s="1"/>
  <c r="S94" i="1"/>
  <c r="AI94" i="1" s="1"/>
  <c r="S93" i="1"/>
  <c r="AI93" i="1" s="1"/>
  <c r="S92" i="1"/>
  <c r="AI92" i="1" s="1"/>
  <c r="S91" i="1"/>
  <c r="AI91" i="1" s="1"/>
  <c r="S90" i="1"/>
  <c r="AI90" i="1" s="1"/>
  <c r="S89" i="1"/>
  <c r="AI89" i="1" s="1"/>
  <c r="S88" i="1"/>
  <c r="AI88" i="1" s="1"/>
  <c r="S87" i="1"/>
  <c r="AI87" i="1" s="1"/>
  <c r="S86" i="1"/>
  <c r="AI86" i="1" s="1"/>
  <c r="S85" i="1"/>
  <c r="AI85" i="1" s="1"/>
  <c r="S84" i="1"/>
  <c r="AI84" i="1" s="1"/>
  <c r="S83" i="1"/>
  <c r="AI83" i="1" s="1"/>
  <c r="S82" i="1"/>
  <c r="AI82" i="1" s="1"/>
  <c r="S503" i="1"/>
  <c r="AI503" i="1" s="1"/>
  <c r="S502" i="1"/>
  <c r="AI502" i="1" s="1"/>
  <c r="S501" i="1"/>
  <c r="AI501" i="1" s="1"/>
  <c r="S484" i="1"/>
  <c r="AI484" i="1" s="1"/>
  <c r="S483" i="1"/>
  <c r="AI483" i="1" s="1"/>
  <c r="S482" i="1"/>
  <c r="AI482" i="1" s="1"/>
  <c r="S500" i="1"/>
  <c r="AI500" i="1" s="1"/>
  <c r="S499" i="1"/>
  <c r="AI499" i="1" s="1"/>
  <c r="S247" i="1"/>
  <c r="AI247" i="1" s="1"/>
  <c r="S246" i="1"/>
  <c r="AI246" i="1" s="1"/>
  <c r="S245" i="1"/>
  <c r="AI245" i="1" s="1"/>
  <c r="S244" i="1"/>
  <c r="AI244" i="1" s="1"/>
  <c r="S243" i="1"/>
  <c r="AI243" i="1" s="1"/>
  <c r="S242" i="1"/>
  <c r="AI242" i="1" s="1"/>
  <c r="S241" i="1"/>
  <c r="AI241" i="1" s="1"/>
  <c r="S240" i="1"/>
  <c r="AI240" i="1" s="1"/>
  <c r="S239" i="1"/>
  <c r="AI239" i="1" s="1"/>
  <c r="S238" i="1"/>
  <c r="AI238" i="1" s="1"/>
  <c r="S237" i="1"/>
  <c r="AI237" i="1" s="1"/>
  <c r="S236" i="1"/>
  <c r="AI236" i="1" s="1"/>
  <c r="S13" i="1"/>
  <c r="AI13" i="1" s="1"/>
  <c r="S235" i="1"/>
  <c r="AI235" i="1" s="1"/>
  <c r="S234" i="1"/>
  <c r="AI234" i="1" s="1"/>
  <c r="S233" i="1"/>
  <c r="AI233" i="1" s="1"/>
  <c r="S232" i="1"/>
  <c r="AI232" i="1" s="1"/>
  <c r="S231" i="1"/>
  <c r="AI231" i="1" s="1"/>
  <c r="S230" i="1"/>
  <c r="AI230" i="1" s="1"/>
  <c r="S229" i="1"/>
  <c r="AI229" i="1" s="1"/>
  <c r="S228" i="1"/>
  <c r="AI228" i="1" s="1"/>
  <c r="S227" i="1"/>
  <c r="AI227" i="1" s="1"/>
  <c r="S226" i="1"/>
  <c r="AI226" i="1" s="1"/>
  <c r="S225" i="1"/>
  <c r="AI225" i="1" s="1"/>
  <c r="S224" i="1"/>
  <c r="AI224" i="1" s="1"/>
  <c r="S223" i="1"/>
  <c r="AI223" i="1" s="1"/>
  <c r="S222" i="1"/>
  <c r="AI222" i="1" s="1"/>
  <c r="S221" i="1"/>
  <c r="AI221" i="1" s="1"/>
  <c r="S220" i="1"/>
  <c r="AI220" i="1" s="1"/>
  <c r="S219" i="1"/>
  <c r="AI219" i="1" s="1"/>
  <c r="S218" i="1"/>
  <c r="AI218" i="1" s="1"/>
  <c r="S217" i="1"/>
  <c r="AI217" i="1" s="1"/>
  <c r="S216" i="1"/>
  <c r="AI216" i="1" s="1"/>
  <c r="S215" i="1"/>
  <c r="AI215" i="1" s="1"/>
  <c r="S214" i="1"/>
  <c r="AI214" i="1" s="1"/>
  <c r="S213" i="1"/>
  <c r="AI213" i="1" s="1"/>
  <c r="S212" i="1"/>
  <c r="AI212" i="1" s="1"/>
  <c r="S211" i="1"/>
  <c r="AI211" i="1" s="1"/>
  <c r="S210" i="1"/>
  <c r="AI210" i="1" s="1"/>
  <c r="S209" i="1"/>
  <c r="AI209" i="1" s="1"/>
  <c r="S208" i="1"/>
  <c r="AI208" i="1" s="1"/>
  <c r="S207" i="1"/>
  <c r="AI207" i="1" s="1"/>
  <c r="S206" i="1"/>
  <c r="AI206" i="1" s="1"/>
  <c r="S205" i="1"/>
  <c r="AI205" i="1" s="1"/>
  <c r="S204" i="1"/>
  <c r="AI204" i="1" s="1"/>
  <c r="S203" i="1"/>
  <c r="AI203" i="1" s="1"/>
  <c r="S202" i="1"/>
  <c r="AI202" i="1" s="1"/>
  <c r="S201" i="1"/>
  <c r="AI201" i="1" s="1"/>
  <c r="S200" i="1"/>
  <c r="AI200" i="1" s="1"/>
  <c r="S199" i="1"/>
  <c r="AI199" i="1" s="1"/>
  <c r="S198" i="1"/>
  <c r="AI198" i="1" s="1"/>
  <c r="S197" i="1"/>
  <c r="AI197" i="1" s="1"/>
  <c r="S196" i="1"/>
  <c r="AI196" i="1" s="1"/>
  <c r="S515" i="1"/>
  <c r="AI515" i="1" s="1"/>
  <c r="S489" i="1"/>
  <c r="AI489" i="1" s="1"/>
  <c r="S488" i="1"/>
  <c r="AI488" i="1" s="1"/>
  <c r="S524" i="1"/>
  <c r="AI524" i="1" s="1"/>
  <c r="S443" i="1"/>
  <c r="AI443" i="1" s="1"/>
  <c r="S523" i="1"/>
  <c r="AI523" i="1" s="1"/>
  <c r="S81" i="1"/>
  <c r="AI81" i="1" s="1"/>
  <c r="S511" i="1"/>
  <c r="AI511" i="1" s="1"/>
  <c r="S487" i="1"/>
  <c r="AI487" i="1" s="1"/>
  <c r="S486" i="1"/>
  <c r="AI486" i="1" s="1"/>
  <c r="S514" i="1"/>
  <c r="AI514" i="1" s="1"/>
  <c r="S442" i="1"/>
  <c r="AI442" i="1" s="1"/>
  <c r="S522" i="1"/>
  <c r="AI522" i="1" s="1"/>
  <c r="S80" i="1"/>
  <c r="AI80" i="1" s="1"/>
  <c r="S79" i="1"/>
  <c r="AI79" i="1" s="1"/>
  <c r="S78" i="1"/>
  <c r="AI78" i="1" s="1"/>
  <c r="S77" i="1"/>
  <c r="AI77" i="1" s="1"/>
  <c r="S76" i="1"/>
  <c r="AI76" i="1" s="1"/>
  <c r="S75" i="1"/>
  <c r="AI75" i="1" s="1"/>
  <c r="S74" i="1"/>
  <c r="AI74" i="1" s="1"/>
  <c r="S73" i="1"/>
  <c r="AI73" i="1" s="1"/>
  <c r="S441" i="1"/>
  <c r="AI441" i="1" s="1"/>
  <c r="S72" i="1"/>
  <c r="AI72" i="1" s="1"/>
  <c r="S440" i="1"/>
  <c r="AI440" i="1" s="1"/>
  <c r="S439" i="1"/>
  <c r="AI439" i="1" s="1"/>
  <c r="S438" i="1"/>
  <c r="AI438" i="1" s="1"/>
  <c r="S437" i="1"/>
  <c r="AI437" i="1" s="1"/>
  <c r="S71" i="1"/>
  <c r="AI71" i="1" s="1"/>
  <c r="S70" i="1"/>
  <c r="AI70" i="1" s="1"/>
  <c r="S69" i="1"/>
  <c r="AI69" i="1" s="1"/>
  <c r="S68" i="1"/>
  <c r="AI68" i="1" s="1"/>
  <c r="S67" i="1"/>
  <c r="AI67" i="1" s="1"/>
  <c r="S436" i="1"/>
  <c r="AI436" i="1" s="1"/>
  <c r="S66" i="1"/>
  <c r="AI66" i="1" s="1"/>
  <c r="S435" i="1"/>
  <c r="AI435" i="1" s="1"/>
  <c r="S65" i="1"/>
  <c r="AI65" i="1" s="1"/>
  <c r="S64" i="1"/>
  <c r="AI64" i="1" s="1"/>
  <c r="S434" i="1"/>
  <c r="AI434" i="1" s="1"/>
  <c r="S433" i="1"/>
  <c r="AI433" i="1" s="1"/>
  <c r="S63" i="1"/>
  <c r="AI63" i="1" s="1"/>
  <c r="S62" i="1"/>
  <c r="AI62" i="1" s="1"/>
  <c r="S61" i="1"/>
  <c r="S99" i="1"/>
  <c r="AI99" i="1" s="1"/>
  <c r="S98" i="1"/>
  <c r="AI98" i="1" s="1"/>
  <c r="S454" i="1"/>
  <c r="AI454" i="1" s="1"/>
  <c r="S453" i="1"/>
  <c r="AI453" i="1" s="1"/>
  <c r="S452" i="1"/>
  <c r="AI452" i="1" s="1"/>
  <c r="S451" i="1"/>
  <c r="AI451" i="1" s="1"/>
  <c r="S450" i="1"/>
  <c r="AI450" i="1" s="1"/>
  <c r="S449" i="1"/>
  <c r="AI449" i="1" s="1"/>
  <c r="S448" i="1"/>
  <c r="AI448" i="1" s="1"/>
  <c r="S447" i="1"/>
  <c r="AI447" i="1" s="1"/>
  <c r="S446" i="1"/>
  <c r="AI446" i="1" s="1"/>
  <c r="S445" i="1"/>
  <c r="AI445" i="1" s="1"/>
  <c r="S444" i="1"/>
  <c r="AI444" i="1" s="1"/>
  <c r="S477" i="1"/>
  <c r="AI477" i="1" s="1"/>
  <c r="S476" i="1"/>
  <c r="AI476" i="1" s="1"/>
  <c r="S475" i="1"/>
  <c r="AI475" i="1" s="1"/>
  <c r="S474" i="1"/>
  <c r="AI474" i="1" s="1"/>
  <c r="S473" i="1"/>
  <c r="AI473" i="1" s="1"/>
  <c r="S472" i="1"/>
  <c r="AI472" i="1" s="1"/>
  <c r="S471" i="1"/>
  <c r="AI471" i="1" s="1"/>
  <c r="S470" i="1"/>
  <c r="AI470" i="1" s="1"/>
  <c r="S469" i="1"/>
  <c r="AI469" i="1" s="1"/>
  <c r="S468" i="1"/>
  <c r="AI468" i="1" s="1"/>
  <c r="S467" i="1"/>
  <c r="AI467" i="1" s="1"/>
  <c r="S466" i="1"/>
  <c r="AI466" i="1" s="1"/>
  <c r="S465" i="1"/>
  <c r="AI465" i="1" s="1"/>
  <c r="S464" i="1"/>
  <c r="AI464" i="1" s="1"/>
  <c r="S463" i="1"/>
  <c r="AI463" i="1" s="1"/>
  <c r="S462" i="1"/>
  <c r="AI462" i="1" s="1"/>
  <c r="S461" i="1"/>
  <c r="AI461" i="1" s="1"/>
  <c r="S460" i="1"/>
  <c r="AI460" i="1" s="1"/>
  <c r="S459" i="1"/>
  <c r="AI459" i="1" s="1"/>
  <c r="S458" i="1"/>
  <c r="AI458" i="1" s="1"/>
  <c r="S457" i="1"/>
  <c r="AI457" i="1" s="1"/>
  <c r="S456" i="1"/>
  <c r="AI456" i="1" s="1"/>
  <c r="S455" i="1"/>
  <c r="AI455" i="1" s="1"/>
  <c r="S19" i="1"/>
  <c r="AI19" i="1" s="1"/>
  <c r="S432" i="1"/>
  <c r="AI432" i="1" s="1"/>
  <c r="S431" i="1"/>
  <c r="AI431" i="1" s="1"/>
  <c r="S430" i="1"/>
  <c r="AI430" i="1" s="1"/>
  <c r="S429" i="1"/>
  <c r="AI429" i="1" s="1"/>
  <c r="S428" i="1"/>
  <c r="AI428" i="1" s="1"/>
  <c r="S427" i="1"/>
  <c r="AI427" i="1" s="1"/>
  <c r="S426" i="1"/>
  <c r="AI426" i="1" s="1"/>
  <c r="S425" i="1"/>
  <c r="AI425" i="1" s="1"/>
  <c r="S424" i="1"/>
  <c r="AI424" i="1" s="1"/>
  <c r="S423" i="1"/>
  <c r="AI423" i="1" s="1"/>
  <c r="S422" i="1"/>
  <c r="AI422" i="1" s="1"/>
  <c r="S421" i="1"/>
  <c r="AI421" i="1" s="1"/>
  <c r="S420" i="1"/>
  <c r="AI420" i="1" s="1"/>
  <c r="S419" i="1"/>
  <c r="AI419" i="1" s="1"/>
  <c r="S418" i="1"/>
  <c r="AI418" i="1" s="1"/>
  <c r="S417" i="1"/>
  <c r="AI417" i="1" s="1"/>
  <c r="S416" i="1"/>
  <c r="AI416" i="1" s="1"/>
  <c r="S415" i="1"/>
  <c r="AI415" i="1" s="1"/>
  <c r="S414" i="1"/>
  <c r="AI414" i="1" s="1"/>
  <c r="S413" i="1"/>
  <c r="AI413" i="1" s="1"/>
  <c r="S412" i="1"/>
  <c r="AI412" i="1" s="1"/>
  <c r="S411" i="1"/>
  <c r="AI411" i="1" s="1"/>
  <c r="S410" i="1"/>
  <c r="AI410" i="1" s="1"/>
  <c r="S409" i="1"/>
  <c r="AI409" i="1" s="1"/>
  <c r="S408" i="1"/>
  <c r="AI408" i="1" s="1"/>
  <c r="S407" i="1"/>
  <c r="AI407" i="1" s="1"/>
  <c r="S406" i="1"/>
  <c r="AI406" i="1" s="1"/>
  <c r="S405" i="1"/>
  <c r="AI405" i="1" s="1"/>
  <c r="S510" i="1"/>
  <c r="AI510" i="1" s="1"/>
  <c r="W510" i="1"/>
  <c r="AB510" i="1"/>
  <c r="AC510"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D562" i="1"/>
  <c r="AF562" i="1" s="1"/>
  <c r="AD564" i="1"/>
  <c r="AF564" i="1" s="1"/>
  <c r="AD558" i="1"/>
  <c r="AF558" i="1" s="1"/>
  <c r="AD566" i="1"/>
  <c r="AF566" i="1" s="1"/>
  <c r="AD573" i="1"/>
  <c r="AF573" i="1" s="1"/>
  <c r="AD563" i="1"/>
  <c r="AF563" i="1" s="1"/>
  <c r="AD569" i="1"/>
  <c r="AF569" i="1" s="1"/>
  <c r="AD554" i="1"/>
  <c r="AF554" i="1" s="1"/>
  <c r="AD556" i="1"/>
  <c r="AF556" i="1" s="1"/>
  <c r="AD557" i="1"/>
  <c r="AF557" i="1" s="1"/>
  <c r="AD578" i="1"/>
  <c r="AF578" i="1" s="1"/>
  <c r="AD570" i="1"/>
  <c r="AF570" i="1" s="1"/>
  <c r="AD620" i="1"/>
  <c r="AF620" i="1" s="1"/>
  <c r="AD621" i="1"/>
  <c r="AF621" i="1" s="1"/>
  <c r="AD629" i="1"/>
  <c r="AF629" i="1" s="1"/>
  <c r="AD576" i="1"/>
  <c r="AF576" i="1" s="1"/>
  <c r="AD561" i="1"/>
  <c r="AF561" i="1" s="1"/>
  <c r="AE573" i="1"/>
  <c r="AE566" i="1"/>
  <c r="AE558" i="1"/>
  <c r="AD581" i="1"/>
  <c r="AF581" i="1" s="1"/>
  <c r="AD577" i="1"/>
  <c r="AF577" i="1" s="1"/>
  <c r="AD582" i="1"/>
  <c r="AF582" i="1" s="1"/>
  <c r="AD575" i="1"/>
  <c r="AF575" i="1" s="1"/>
  <c r="AD426" i="1"/>
  <c r="AF426" i="1" s="1"/>
  <c r="AD445" i="1"/>
  <c r="AF445" i="1" s="1"/>
  <c r="AD515" i="1"/>
  <c r="AF515" i="1" s="1"/>
  <c r="AD227" i="1"/>
  <c r="AF227" i="1" s="1"/>
  <c r="AD100" i="1"/>
  <c r="AF100" i="1" s="1"/>
  <c r="AD108" i="1"/>
  <c r="AF108" i="1" s="1"/>
  <c r="AD116" i="1"/>
  <c r="AF116" i="1" s="1"/>
  <c r="AD132" i="1"/>
  <c r="AF132" i="1" s="1"/>
  <c r="AD153" i="1"/>
  <c r="AF153" i="1" s="1"/>
  <c r="AD161" i="1"/>
  <c r="AF161" i="1" s="1"/>
  <c r="AD169" i="1"/>
  <c r="AF169" i="1" s="1"/>
  <c r="AD177" i="1"/>
  <c r="AF177" i="1" s="1"/>
  <c r="AD185" i="1"/>
  <c r="AF185" i="1" s="1"/>
  <c r="AD248" i="1"/>
  <c r="AF248" i="1" s="1"/>
  <c r="AD256" i="1"/>
  <c r="AF256" i="1" s="1"/>
  <c r="AD264" i="1"/>
  <c r="AF264" i="1" s="1"/>
  <c r="AD16" i="1"/>
  <c r="AF16" i="1" s="1"/>
  <c r="AD293" i="1"/>
  <c r="AF293" i="1" s="1"/>
  <c r="AD645" i="1"/>
  <c r="AF645" i="1" s="1"/>
  <c r="AD619" i="1"/>
  <c r="AF619" i="1" s="1"/>
  <c r="AD102" i="1"/>
  <c r="AF102" i="1" s="1"/>
  <c r="AD118" i="1"/>
  <c r="AF118" i="1" s="1"/>
  <c r="AD250" i="1"/>
  <c r="AF250" i="1" s="1"/>
  <c r="AD258" i="1"/>
  <c r="AF258" i="1" s="1"/>
  <c r="AD494" i="1"/>
  <c r="AF494" i="1" s="1"/>
  <c r="AD529" i="1"/>
  <c r="AF529" i="1" s="1"/>
  <c r="AD637" i="1"/>
  <c r="AF637" i="1" s="1"/>
  <c r="AD567" i="1"/>
  <c r="AF567" i="1" s="1"/>
  <c r="AD657" i="1"/>
  <c r="AF657" i="1" s="1"/>
  <c r="AD659" i="1"/>
  <c r="AF659" i="1" s="1"/>
  <c r="AD148" i="1"/>
  <c r="AF148" i="1" s="1"/>
  <c r="AE579" i="1"/>
  <c r="AE564" i="1"/>
  <c r="AE571" i="1"/>
  <c r="AE556" i="1"/>
  <c r="AD195" i="1"/>
  <c r="AF195" i="1" s="1"/>
  <c r="AD327" i="1"/>
  <c r="AF327" i="1" s="1"/>
  <c r="AD142" i="1"/>
  <c r="AF142" i="1" s="1"/>
  <c r="AD493" i="1"/>
  <c r="AF493" i="1" s="1"/>
  <c r="AD399" i="1"/>
  <c r="AF399" i="1" s="1"/>
  <c r="AD301" i="1"/>
  <c r="AF301" i="1" s="1"/>
  <c r="AD317" i="1"/>
  <c r="AF317" i="1" s="1"/>
  <c r="AD325" i="1"/>
  <c r="AF325" i="1" s="1"/>
  <c r="AD341" i="1"/>
  <c r="AF341" i="1" s="1"/>
  <c r="AD479" i="1"/>
  <c r="AF479" i="1" s="1"/>
  <c r="AD163" i="1"/>
  <c r="AF163" i="1" s="1"/>
  <c r="AD274" i="1"/>
  <c r="AF274" i="1" s="1"/>
  <c r="AD354" i="1"/>
  <c r="AF354" i="1" s="1"/>
  <c r="AD368" i="1"/>
  <c r="AF368" i="1" s="1"/>
  <c r="AD376" i="1"/>
  <c r="AF376" i="1" s="1"/>
  <c r="AD392" i="1"/>
  <c r="AF392" i="1" s="1"/>
  <c r="AD237" i="1"/>
  <c r="AF237" i="1" s="1"/>
  <c r="AD245" i="1"/>
  <c r="AF245" i="1" s="1"/>
  <c r="AD501" i="1"/>
  <c r="AF501" i="1" s="1"/>
  <c r="AD87" i="1"/>
  <c r="AF87" i="1" s="1"/>
  <c r="AD450" i="1"/>
  <c r="AF450" i="1" s="1"/>
  <c r="AD216" i="1"/>
  <c r="AF216" i="1" s="1"/>
  <c r="AD540" i="1"/>
  <c r="AF540" i="1" s="1"/>
  <c r="AD602" i="1"/>
  <c r="AF602" i="1" s="1"/>
  <c r="AD631" i="1"/>
  <c r="AF631" i="1" s="1"/>
  <c r="M20" i="9"/>
  <c r="AE578" i="1"/>
  <c r="AD532" i="1"/>
  <c r="AF532" i="1" s="1"/>
  <c r="AE554" i="1"/>
  <c r="AD547" i="1"/>
  <c r="AF547" i="1" s="1"/>
  <c r="AD553" i="1"/>
  <c r="AF553" i="1" s="1"/>
  <c r="AE570" i="1"/>
  <c r="AE563" i="1"/>
  <c r="AE555" i="1"/>
  <c r="AE603" i="1"/>
  <c r="AD626" i="1"/>
  <c r="AF626" i="1" s="1"/>
  <c r="AD634" i="1"/>
  <c r="AF634" i="1" s="1"/>
  <c r="AE643" i="1"/>
  <c r="AE645" i="1"/>
  <c r="AE652" i="1"/>
  <c r="AD651" i="1"/>
  <c r="AF651" i="1" s="1"/>
  <c r="AD539" i="1"/>
  <c r="AF539" i="1" s="1"/>
  <c r="AD633" i="1"/>
  <c r="AF633" i="1" s="1"/>
  <c r="AE287" i="1"/>
  <c r="AD544" i="1"/>
  <c r="AF544" i="1" s="1"/>
  <c r="AD234" i="1"/>
  <c r="AF234" i="1" s="1"/>
  <c r="AE572" i="1"/>
  <c r="AE640" i="1"/>
  <c r="AD92" i="1"/>
  <c r="AF92" i="1" s="1"/>
  <c r="AD166" i="1"/>
  <c r="AF166" i="1" s="1"/>
  <c r="AD182" i="1"/>
  <c r="AF182" i="1" s="1"/>
  <c r="AE561" i="1"/>
  <c r="AD613" i="1"/>
  <c r="AF613" i="1" s="1"/>
  <c r="AE304" i="1"/>
  <c r="AD537" i="1"/>
  <c r="AF537" i="1" s="1"/>
  <c r="AE85" i="1"/>
  <c r="AD331" i="1"/>
  <c r="AF331" i="1" s="1"/>
  <c r="AD658" i="1"/>
  <c r="AF658" i="1" s="1"/>
  <c r="AE587" i="1"/>
  <c r="AD588" i="1"/>
  <c r="AF588" i="1" s="1"/>
  <c r="AD592" i="1"/>
  <c r="AF592" i="1" s="1"/>
  <c r="AE595" i="1"/>
  <c r="AE605" i="1"/>
  <c r="AE611" i="1"/>
  <c r="AE622" i="1"/>
  <c r="AE626" i="1"/>
  <c r="AD627" i="1"/>
  <c r="AF627" i="1" s="1"/>
  <c r="AE630" i="1"/>
  <c r="AE636" i="1"/>
  <c r="AE638" i="1"/>
  <c r="AD640" i="1"/>
  <c r="AF640" i="1" s="1"/>
  <c r="AD21" i="1"/>
  <c r="AF21" i="1" s="1"/>
  <c r="AD647" i="1"/>
  <c r="AF647" i="1" s="1"/>
  <c r="AD650" i="1"/>
  <c r="AF650" i="1" s="1"/>
  <c r="AD660" i="1"/>
  <c r="AF660" i="1" s="1"/>
  <c r="AD246" i="1"/>
  <c r="AF246" i="1" s="1"/>
  <c r="AD361" i="1"/>
  <c r="AF361" i="1" s="1"/>
  <c r="AD133" i="1"/>
  <c r="AF133" i="1" s="1"/>
  <c r="AD545" i="1"/>
  <c r="AF545" i="1" s="1"/>
  <c r="AE580" i="1"/>
  <c r="AE565" i="1"/>
  <c r="AE557" i="1"/>
  <c r="AE597" i="1"/>
  <c r="AE601" i="1"/>
  <c r="AE608" i="1"/>
  <c r="AE610" i="1"/>
  <c r="AE612" i="1"/>
  <c r="AE624" i="1"/>
  <c r="AD625" i="1"/>
  <c r="AF625" i="1" s="1"/>
  <c r="AD628" i="1"/>
  <c r="AF628" i="1" s="1"/>
  <c r="AD636" i="1"/>
  <c r="AF636" i="1" s="1"/>
  <c r="AE642" i="1"/>
  <c r="AD643" i="1"/>
  <c r="AF643" i="1" s="1"/>
  <c r="AD644" i="1"/>
  <c r="AF644" i="1" s="1"/>
  <c r="AD648" i="1"/>
  <c r="AF648" i="1" s="1"/>
  <c r="AE655" i="1"/>
  <c r="AE658" i="1"/>
  <c r="AD661" i="1"/>
  <c r="AF661" i="1" s="1"/>
  <c r="AD622" i="1"/>
  <c r="AF622" i="1" s="1"/>
  <c r="AD641" i="1"/>
  <c r="AF641" i="1" s="1"/>
  <c r="AD400" i="1"/>
  <c r="AF400" i="1" s="1"/>
  <c r="AD300" i="1"/>
  <c r="AF300" i="1" s="1"/>
  <c r="AD302" i="1"/>
  <c r="AF302" i="1" s="1"/>
  <c r="AD310" i="1"/>
  <c r="AF310" i="1" s="1"/>
  <c r="AD318" i="1"/>
  <c r="AF318" i="1" s="1"/>
  <c r="AD326" i="1"/>
  <c r="AF326" i="1" s="1"/>
  <c r="AD334" i="1"/>
  <c r="AF334" i="1" s="1"/>
  <c r="AD342" i="1"/>
  <c r="AF342" i="1" s="1"/>
  <c r="AD490" i="1"/>
  <c r="AF490" i="1" s="1"/>
  <c r="AD525" i="1"/>
  <c r="AF525" i="1" s="1"/>
  <c r="AD528" i="1"/>
  <c r="AF528" i="1" s="1"/>
  <c r="AD101" i="1"/>
  <c r="AF101" i="1" s="1"/>
  <c r="AD109" i="1"/>
  <c r="AF109" i="1" s="1"/>
  <c r="AD117" i="1"/>
  <c r="AF117" i="1" s="1"/>
  <c r="AD125" i="1"/>
  <c r="AF125" i="1" s="1"/>
  <c r="AD141" i="1"/>
  <c r="AF141" i="1" s="1"/>
  <c r="AD147" i="1"/>
  <c r="AF147" i="1" s="1"/>
  <c r="AD154" i="1"/>
  <c r="AF154" i="1" s="1"/>
  <c r="AD186" i="1"/>
  <c r="AF186" i="1" s="1"/>
  <c r="AD194" i="1"/>
  <c r="AF194" i="1" s="1"/>
  <c r="AD600" i="1"/>
  <c r="AF600" i="1" s="1"/>
  <c r="AD607" i="1"/>
  <c r="AF607" i="1" s="1"/>
  <c r="AD232" i="1"/>
  <c r="AF232" i="1" s="1"/>
  <c r="AD94" i="1"/>
  <c r="AF94" i="1" s="1"/>
  <c r="AD347" i="1"/>
  <c r="AF347" i="1" s="1"/>
  <c r="AD369" i="1"/>
  <c r="AF369" i="1" s="1"/>
  <c r="AD377" i="1"/>
  <c r="AF377" i="1" s="1"/>
  <c r="AD401" i="1"/>
  <c r="AF401" i="1" s="1"/>
  <c r="AD303" i="1"/>
  <c r="AF303" i="1" s="1"/>
  <c r="AD311" i="1"/>
  <c r="AF311" i="1" s="1"/>
  <c r="AD319" i="1"/>
  <c r="AF319" i="1" s="1"/>
  <c r="AD335" i="1"/>
  <c r="AF335" i="1" s="1"/>
  <c r="AD480" i="1"/>
  <c r="AF480" i="1" s="1"/>
  <c r="AD110" i="1"/>
  <c r="AF110" i="1" s="1"/>
  <c r="AD126" i="1"/>
  <c r="AF126" i="1" s="1"/>
  <c r="AD134" i="1"/>
  <c r="AF134" i="1" s="1"/>
  <c r="AD171" i="1"/>
  <c r="AF171" i="1" s="1"/>
  <c r="AD179" i="1"/>
  <c r="AF179" i="1" s="1"/>
  <c r="AD282" i="1"/>
  <c r="AF282" i="1" s="1"/>
  <c r="AD552" i="1"/>
  <c r="AF552" i="1" s="1"/>
  <c r="AD412" i="1"/>
  <c r="AF412" i="1" s="1"/>
  <c r="AD420" i="1"/>
  <c r="AF420" i="1" s="1"/>
  <c r="AD455" i="1"/>
  <c r="AF455" i="1" s="1"/>
  <c r="AD463" i="1"/>
  <c r="AF463" i="1" s="1"/>
  <c r="AD471" i="1"/>
  <c r="AF471" i="1" s="1"/>
  <c r="AD453" i="1"/>
  <c r="AF453" i="1" s="1"/>
  <c r="AD62" i="1"/>
  <c r="AF62" i="1" s="1"/>
  <c r="AD436" i="1"/>
  <c r="AF436" i="1" s="1"/>
  <c r="AD439" i="1"/>
  <c r="AF439" i="1" s="1"/>
  <c r="AD77" i="1"/>
  <c r="AF77" i="1" s="1"/>
  <c r="AD487" i="1"/>
  <c r="AF487" i="1" s="1"/>
  <c r="AD203" i="1"/>
  <c r="AF203" i="1" s="1"/>
  <c r="AD239" i="1"/>
  <c r="AF239" i="1" s="1"/>
  <c r="AD247" i="1"/>
  <c r="AF247" i="1" s="1"/>
  <c r="AD503" i="1"/>
  <c r="AF503" i="1" s="1"/>
  <c r="AD89" i="1"/>
  <c r="AF89" i="1" s="1"/>
  <c r="AD95" i="1"/>
  <c r="AF95" i="1" s="1"/>
  <c r="AD348" i="1"/>
  <c r="AF348" i="1" s="1"/>
  <c r="AD18" i="1"/>
  <c r="AF18" i="1" s="1"/>
  <c r="AD370" i="1"/>
  <c r="AF370" i="1" s="1"/>
  <c r="AD378" i="1"/>
  <c r="AF378" i="1" s="1"/>
  <c r="AD386" i="1"/>
  <c r="AF386" i="1" s="1"/>
  <c r="AD394" i="1"/>
  <c r="AF394" i="1" s="1"/>
  <c r="AD144" i="1"/>
  <c r="AF144" i="1" s="1"/>
  <c r="AD173" i="1"/>
  <c r="AF173" i="1" s="1"/>
  <c r="AE548" i="1"/>
  <c r="AE541" i="1"/>
  <c r="AE586" i="1"/>
  <c r="AD603" i="1"/>
  <c r="AF603" i="1" s="1"/>
  <c r="AE637" i="1"/>
  <c r="AE646" i="1"/>
  <c r="AD652" i="1"/>
  <c r="AF652" i="1" s="1"/>
  <c r="AD366" i="1"/>
  <c r="AF366" i="1" s="1"/>
  <c r="AD106" i="1"/>
  <c r="AF106" i="1" s="1"/>
  <c r="AD17" i="1"/>
  <c r="AF17" i="1" s="1"/>
  <c r="AE409" i="1"/>
  <c r="AD64" i="1"/>
  <c r="AF64" i="1" s="1"/>
  <c r="AD618" i="1"/>
  <c r="AF618" i="1" s="1"/>
  <c r="AE623" i="1"/>
  <c r="AD624" i="1"/>
  <c r="AF624" i="1" s="1"/>
  <c r="AD630" i="1"/>
  <c r="AF630" i="1" s="1"/>
  <c r="AE633" i="1"/>
  <c r="AD635" i="1"/>
  <c r="AF635" i="1" s="1"/>
  <c r="AE639" i="1"/>
  <c r="AD642" i="1"/>
  <c r="AF642" i="1" s="1"/>
  <c r="AE653" i="1"/>
  <c r="AD20" i="1"/>
  <c r="AF20" i="1" s="1"/>
  <c r="AE632" i="1"/>
  <c r="AD551" i="1"/>
  <c r="AF551" i="1" s="1"/>
  <c r="AD601" i="1"/>
  <c r="AF601" i="1" s="1"/>
  <c r="AD608" i="1"/>
  <c r="AF608" i="1" s="1"/>
  <c r="AD610" i="1"/>
  <c r="AF610" i="1" s="1"/>
  <c r="AE613" i="1"/>
  <c r="AD597" i="1"/>
  <c r="AF597" i="1" s="1"/>
  <c r="AE397" i="1"/>
  <c r="AE122" i="1"/>
  <c r="AE138" i="1"/>
  <c r="AE151" i="1"/>
  <c r="AD208" i="1"/>
  <c r="AF208" i="1" s="1"/>
  <c r="AD224" i="1"/>
  <c r="AF224" i="1" s="1"/>
  <c r="AD599" i="1"/>
  <c r="AF599" i="1" s="1"/>
  <c r="AD606" i="1"/>
  <c r="AF606" i="1" s="1"/>
  <c r="AD115" i="1"/>
  <c r="AF115" i="1" s="1"/>
  <c r="AD131" i="1"/>
  <c r="AF131" i="1" s="1"/>
  <c r="AD215" i="1"/>
  <c r="AF215" i="1" s="1"/>
  <c r="AD84" i="1"/>
  <c r="AF84" i="1" s="1"/>
  <c r="AD351" i="1"/>
  <c r="AF351" i="1" s="1"/>
  <c r="AD365" i="1"/>
  <c r="AF365" i="1" s="1"/>
  <c r="AD373" i="1"/>
  <c r="AF373" i="1" s="1"/>
  <c r="AD381" i="1"/>
  <c r="AF381" i="1" s="1"/>
  <c r="AD389" i="1"/>
  <c r="AF389" i="1" s="1"/>
  <c r="AD121" i="1"/>
  <c r="AF121" i="1" s="1"/>
  <c r="AD137" i="1"/>
  <c r="AF137" i="1" s="1"/>
  <c r="AD145" i="1"/>
  <c r="AF145" i="1" s="1"/>
  <c r="AD150" i="1"/>
  <c r="AF150" i="1" s="1"/>
  <c r="AD174" i="1"/>
  <c r="AF174" i="1" s="1"/>
  <c r="AD190" i="1"/>
  <c r="AF190" i="1" s="1"/>
  <c r="AD253" i="1"/>
  <c r="AF253" i="1" s="1"/>
  <c r="AD261" i="1"/>
  <c r="AF261" i="1" s="1"/>
  <c r="AD269" i="1"/>
  <c r="AF269" i="1" s="1"/>
  <c r="AD15" i="1"/>
  <c r="AF15" i="1" s="1"/>
  <c r="AD291" i="1"/>
  <c r="AF291" i="1" s="1"/>
  <c r="AD298" i="1"/>
  <c r="AF298" i="1" s="1"/>
  <c r="AE582" i="1"/>
  <c r="AE576" i="1"/>
  <c r="AE569" i="1"/>
  <c r="AE592" i="1"/>
  <c r="AE593" i="1"/>
  <c r="AD595" i="1"/>
  <c r="AF595" i="1" s="1"/>
  <c r="AE604" i="1"/>
  <c r="AE607" i="1"/>
  <c r="AD549" i="1"/>
  <c r="AF549" i="1" s="1"/>
  <c r="AD654" i="1"/>
  <c r="AF654" i="1" s="1"/>
  <c r="AD304" i="1"/>
  <c r="AF304" i="1" s="1"/>
  <c r="AD328" i="1"/>
  <c r="AF328" i="1" s="1"/>
  <c r="AD336" i="1"/>
  <c r="AF336" i="1" s="1"/>
  <c r="AD111" i="1"/>
  <c r="AF111" i="1" s="1"/>
  <c r="AD156" i="1"/>
  <c r="AF156" i="1" s="1"/>
  <c r="AD164" i="1"/>
  <c r="AF164" i="1" s="1"/>
  <c r="AD172" i="1"/>
  <c r="AF172" i="1" s="1"/>
  <c r="AD180" i="1"/>
  <c r="AF180" i="1" s="1"/>
  <c r="AD485" i="1"/>
  <c r="AF485" i="1" s="1"/>
  <c r="AD251" i="1"/>
  <c r="AF251" i="1" s="1"/>
  <c r="AD259" i="1"/>
  <c r="AF259" i="1" s="1"/>
  <c r="AD267" i="1"/>
  <c r="AF267" i="1" s="1"/>
  <c r="AD275" i="1"/>
  <c r="AF275" i="1" s="1"/>
  <c r="AD283" i="1"/>
  <c r="AF283" i="1" s="1"/>
  <c r="AD289" i="1"/>
  <c r="AF289" i="1" s="1"/>
  <c r="AD296" i="1"/>
  <c r="AF296" i="1" s="1"/>
  <c r="AD405" i="1"/>
  <c r="AF405" i="1" s="1"/>
  <c r="AD456" i="1"/>
  <c r="AF456" i="1" s="1"/>
  <c r="AD464" i="1"/>
  <c r="AF464" i="1" s="1"/>
  <c r="AD446" i="1"/>
  <c r="AF446" i="1" s="1"/>
  <c r="AD454" i="1"/>
  <c r="AF454" i="1" s="1"/>
  <c r="AD67" i="1"/>
  <c r="AF67" i="1" s="1"/>
  <c r="AD511" i="1"/>
  <c r="AF511" i="1" s="1"/>
  <c r="AD204" i="1"/>
  <c r="AF204" i="1" s="1"/>
  <c r="AD240" i="1"/>
  <c r="AF240" i="1" s="1"/>
  <c r="AD82" i="1"/>
  <c r="AF82" i="1" s="1"/>
  <c r="AD371" i="1"/>
  <c r="AF371" i="1" s="1"/>
  <c r="AE429" i="1"/>
  <c r="AE523" i="1"/>
  <c r="AD473" i="1"/>
  <c r="AF473" i="1" s="1"/>
  <c r="AD205" i="1"/>
  <c r="AF205" i="1" s="1"/>
  <c r="AD128" i="1"/>
  <c r="AF128" i="1" s="1"/>
  <c r="AD189" i="1"/>
  <c r="AF189" i="1" s="1"/>
  <c r="AE533" i="1"/>
  <c r="AE534" i="1"/>
  <c r="AE539" i="1"/>
  <c r="AD533" i="1"/>
  <c r="AF533" i="1" s="1"/>
  <c r="AD542" i="1"/>
  <c r="AF542" i="1" s="1"/>
  <c r="AD541" i="1"/>
  <c r="AF541" i="1" s="1"/>
  <c r="AD548" i="1"/>
  <c r="AF548" i="1" s="1"/>
  <c r="AE577" i="1"/>
  <c r="AE562" i="1"/>
  <c r="AE584" i="1"/>
  <c r="AE585" i="1"/>
  <c r="AE590" i="1"/>
  <c r="AD589" i="1"/>
  <c r="AF589" i="1" s="1"/>
  <c r="AE600" i="1"/>
  <c r="AE609" i="1"/>
  <c r="AE620" i="1"/>
  <c r="AE621" i="1"/>
  <c r="AE629" i="1"/>
  <c r="AD638" i="1"/>
  <c r="AF638" i="1" s="1"/>
  <c r="AE644" i="1"/>
  <c r="AE648" i="1"/>
  <c r="AE649" i="1"/>
  <c r="AE657" i="1"/>
  <c r="AE660" i="1"/>
  <c r="AE553" i="1"/>
  <c r="AE546" i="1"/>
  <c r="AE510" i="1"/>
  <c r="AE219" i="1"/>
  <c r="AD431" i="1"/>
  <c r="AF431" i="1" s="1"/>
  <c r="AD14" i="1"/>
  <c r="AF14" i="1" s="1"/>
  <c r="AD484" i="1"/>
  <c r="AF484" i="1" s="1"/>
  <c r="AD86" i="1"/>
  <c r="AF86" i="1" s="1"/>
  <c r="AD353" i="1"/>
  <c r="AF353" i="1" s="1"/>
  <c r="AD359" i="1"/>
  <c r="AF359" i="1" s="1"/>
  <c r="AD367" i="1"/>
  <c r="AF367" i="1" s="1"/>
  <c r="AD375" i="1"/>
  <c r="AF375" i="1" s="1"/>
  <c r="AD391" i="1"/>
  <c r="AF391" i="1" s="1"/>
  <c r="AD308" i="1"/>
  <c r="AF308" i="1" s="1"/>
  <c r="AD324" i="1"/>
  <c r="AF324" i="1" s="1"/>
  <c r="AD332" i="1"/>
  <c r="AF332" i="1" s="1"/>
  <c r="AD340" i="1"/>
  <c r="AF340" i="1" s="1"/>
  <c r="AD512" i="1"/>
  <c r="AF512" i="1" s="1"/>
  <c r="AD123" i="1"/>
  <c r="AF123" i="1" s="1"/>
  <c r="AD160" i="1"/>
  <c r="AF160" i="1" s="1"/>
  <c r="AD168" i="1"/>
  <c r="AF168" i="1" s="1"/>
  <c r="AD176" i="1"/>
  <c r="AF176" i="1" s="1"/>
  <c r="AD184" i="1"/>
  <c r="AF184" i="1" s="1"/>
  <c r="AD192" i="1"/>
  <c r="AF192" i="1" s="1"/>
  <c r="AD507" i="1"/>
  <c r="AF507" i="1" s="1"/>
  <c r="AD255" i="1"/>
  <c r="AF255" i="1" s="1"/>
  <c r="AD263" i="1"/>
  <c r="AF263" i="1" s="1"/>
  <c r="AD271" i="1"/>
  <c r="AF271" i="1" s="1"/>
  <c r="AD292" i="1"/>
  <c r="AF292" i="1" s="1"/>
  <c r="AE552" i="1"/>
  <c r="AE545" i="1"/>
  <c r="AE538" i="1"/>
  <c r="AD550" i="1"/>
  <c r="AF550" i="1" s="1"/>
  <c r="AD605" i="1"/>
  <c r="AF605" i="1" s="1"/>
  <c r="AE618" i="1"/>
  <c r="AE616" i="1"/>
  <c r="AE614" i="1"/>
  <c r="AE243" i="1"/>
  <c r="AE352" i="1"/>
  <c r="AE390" i="1"/>
  <c r="AE315" i="1"/>
  <c r="AE331" i="1"/>
  <c r="AE478" i="1"/>
  <c r="AE106" i="1"/>
  <c r="AE183" i="1"/>
  <c r="AE506" i="1"/>
  <c r="AE254" i="1"/>
  <c r="AE262" i="1"/>
  <c r="AE270" i="1"/>
  <c r="AE285" i="1"/>
  <c r="AE17" i="1"/>
  <c r="AD410" i="1"/>
  <c r="AF410" i="1" s="1"/>
  <c r="AD418" i="1"/>
  <c r="AF418" i="1" s="1"/>
  <c r="AD424" i="1"/>
  <c r="AF424" i="1" s="1"/>
  <c r="AD432" i="1"/>
  <c r="AF432" i="1" s="1"/>
  <c r="AD461" i="1"/>
  <c r="AF461" i="1" s="1"/>
  <c r="AD469" i="1"/>
  <c r="AF469" i="1" s="1"/>
  <c r="AD477" i="1"/>
  <c r="AF477" i="1" s="1"/>
  <c r="AD451" i="1"/>
  <c r="AF451" i="1" s="1"/>
  <c r="AD99" i="1"/>
  <c r="AF99" i="1" s="1"/>
  <c r="AD435" i="1"/>
  <c r="AF435" i="1" s="1"/>
  <c r="AD437" i="1"/>
  <c r="AF437" i="1" s="1"/>
  <c r="AD75" i="1"/>
  <c r="AF75" i="1" s="1"/>
  <c r="AD514" i="1"/>
  <c r="AF514" i="1" s="1"/>
  <c r="AD488" i="1"/>
  <c r="AF488" i="1" s="1"/>
  <c r="AD201" i="1"/>
  <c r="AF201" i="1" s="1"/>
  <c r="AD217" i="1"/>
  <c r="AF217" i="1" s="1"/>
  <c r="AD225" i="1"/>
  <c r="AF225" i="1" s="1"/>
  <c r="AD231" i="1"/>
  <c r="AF231" i="1" s="1"/>
  <c r="AD615" i="1"/>
  <c r="AF615" i="1" s="1"/>
  <c r="AE348" i="1"/>
  <c r="AE431" i="1"/>
  <c r="AE460" i="1"/>
  <c r="AE71" i="1"/>
  <c r="AE216" i="1"/>
  <c r="AD513" i="1"/>
  <c r="AF513" i="1" s="1"/>
  <c r="AD305" i="1"/>
  <c r="AF305" i="1" s="1"/>
  <c r="AD313" i="1"/>
  <c r="AF313" i="1" s="1"/>
  <c r="AD321" i="1"/>
  <c r="AF321" i="1" s="1"/>
  <c r="AD329" i="1"/>
  <c r="AF329" i="1" s="1"/>
  <c r="AD345" i="1"/>
  <c r="AF345" i="1" s="1"/>
  <c r="AD491" i="1"/>
  <c r="AF491" i="1" s="1"/>
  <c r="AD496" i="1"/>
  <c r="AF496" i="1" s="1"/>
  <c r="AD104" i="1"/>
  <c r="AF104" i="1" s="1"/>
  <c r="AD112" i="1"/>
  <c r="AF112" i="1" s="1"/>
  <c r="AD120" i="1"/>
  <c r="AF120" i="1" s="1"/>
  <c r="AD136" i="1"/>
  <c r="AF136" i="1" s="1"/>
  <c r="AD149" i="1"/>
  <c r="AF149" i="1" s="1"/>
  <c r="AD157" i="1"/>
  <c r="AF157" i="1" s="1"/>
  <c r="AD165" i="1"/>
  <c r="AF165" i="1" s="1"/>
  <c r="AD504" i="1"/>
  <c r="AF504" i="1" s="1"/>
  <c r="AD260" i="1"/>
  <c r="AF260" i="1" s="1"/>
  <c r="AD268" i="1"/>
  <c r="AF268" i="1" s="1"/>
  <c r="AD284" i="1"/>
  <c r="AF284" i="1" s="1"/>
  <c r="AD297" i="1"/>
  <c r="AF297" i="1" s="1"/>
  <c r="AE244" i="1"/>
  <c r="AE484" i="1"/>
  <c r="AD414" i="1"/>
  <c r="AF414" i="1" s="1"/>
  <c r="AD421" i="1"/>
  <c r="AF421" i="1" s="1"/>
  <c r="AD457" i="1"/>
  <c r="AF457" i="1" s="1"/>
  <c r="AD465" i="1"/>
  <c r="AF465" i="1" s="1"/>
  <c r="AD447" i="1"/>
  <c r="AF447" i="1" s="1"/>
  <c r="AD98" i="1"/>
  <c r="AF98" i="1" s="1"/>
  <c r="AD433" i="1"/>
  <c r="AF433" i="1" s="1"/>
  <c r="AD68" i="1"/>
  <c r="AF68" i="1" s="1"/>
  <c r="AD72" i="1"/>
  <c r="AF72" i="1" s="1"/>
  <c r="AD79" i="1"/>
  <c r="AF79" i="1" s="1"/>
  <c r="AD81" i="1"/>
  <c r="AF81" i="1" s="1"/>
  <c r="AD197" i="1"/>
  <c r="AF197" i="1" s="1"/>
  <c r="AD221" i="1"/>
  <c r="AF221" i="1" s="1"/>
  <c r="AD235" i="1"/>
  <c r="AF235" i="1" s="1"/>
  <c r="AD241" i="1"/>
  <c r="AF241" i="1" s="1"/>
  <c r="AD83" i="1"/>
  <c r="AF83" i="1" s="1"/>
  <c r="AD91" i="1"/>
  <c r="AF91" i="1" s="1"/>
  <c r="AD372" i="1"/>
  <c r="AF372" i="1" s="1"/>
  <c r="AD380" i="1"/>
  <c r="AF380" i="1" s="1"/>
  <c r="AD396" i="1"/>
  <c r="AF396" i="1" s="1"/>
  <c r="AD404" i="1"/>
  <c r="AF404" i="1" s="1"/>
  <c r="AD519" i="1"/>
  <c r="AF519" i="1" s="1"/>
  <c r="AD306" i="1"/>
  <c r="AF306" i="1" s="1"/>
  <c r="AD314" i="1"/>
  <c r="AF314" i="1" s="1"/>
  <c r="AD322" i="1"/>
  <c r="AF322" i="1" s="1"/>
  <c r="AD330" i="1"/>
  <c r="AF330" i="1" s="1"/>
  <c r="AD338" i="1"/>
  <c r="AF338" i="1" s="1"/>
  <c r="AD346" i="1"/>
  <c r="AF346" i="1" s="1"/>
  <c r="AD516" i="1"/>
  <c r="AF516" i="1" s="1"/>
  <c r="AD497" i="1"/>
  <c r="AF497" i="1" s="1"/>
  <c r="AD105" i="1"/>
  <c r="AF105" i="1" s="1"/>
  <c r="AD113" i="1"/>
  <c r="AF113" i="1" s="1"/>
  <c r="AD505" i="1"/>
  <c r="AF505" i="1" s="1"/>
  <c r="AE527" i="1"/>
  <c r="AE447" i="1"/>
  <c r="AE72" i="1"/>
  <c r="AE205" i="1"/>
  <c r="AE372" i="1"/>
  <c r="AE321" i="1"/>
  <c r="AE120" i="1"/>
  <c r="AE157" i="1"/>
  <c r="AE297" i="1"/>
  <c r="AD80" i="1"/>
  <c r="AF80" i="1" s="1"/>
  <c r="AD222" i="1"/>
  <c r="AF222" i="1" s="1"/>
  <c r="AE432" i="1"/>
  <c r="AE353" i="1"/>
  <c r="AE160" i="1"/>
  <c r="AE168" i="1"/>
  <c r="AD584" i="1"/>
  <c r="AF584" i="1" s="1"/>
  <c r="AD585" i="1"/>
  <c r="AF585" i="1" s="1"/>
  <c r="AE588" i="1"/>
  <c r="AE594" i="1"/>
  <c r="AD646" i="1"/>
  <c r="AF646" i="1" s="1"/>
  <c r="AE650" i="1"/>
  <c r="AD649" i="1"/>
  <c r="AF649" i="1" s="1"/>
  <c r="AE405" i="1"/>
  <c r="AE413" i="1"/>
  <c r="AE427" i="1"/>
  <c r="AE456" i="1"/>
  <c r="AE464" i="1"/>
  <c r="AE472" i="1"/>
  <c r="AE446" i="1"/>
  <c r="AE454" i="1"/>
  <c r="AE63" i="1"/>
  <c r="AE67" i="1"/>
  <c r="AE440" i="1"/>
  <c r="AE78" i="1"/>
  <c r="AE511" i="1"/>
  <c r="AE196" i="1"/>
  <c r="AE204" i="1"/>
  <c r="AE212" i="1"/>
  <c r="AE220" i="1"/>
  <c r="AE228" i="1"/>
  <c r="AE233" i="1"/>
  <c r="AE239" i="1"/>
  <c r="AE247" i="1"/>
  <c r="AE503" i="1"/>
  <c r="AE89" i="1"/>
  <c r="AE95" i="1"/>
  <c r="AE18" i="1"/>
  <c r="AE362" i="1"/>
  <c r="AE370" i="1"/>
  <c r="AE378" i="1"/>
  <c r="AE386" i="1"/>
  <c r="AE394" i="1"/>
  <c r="AE401" i="1"/>
  <c r="AE517" i="1"/>
  <c r="AE303" i="1"/>
  <c r="AE311" i="1"/>
  <c r="AE319" i="1"/>
  <c r="AE327" i="1"/>
  <c r="AE335" i="1"/>
  <c r="AE343" i="1"/>
  <c r="AE480" i="1"/>
  <c r="AE494" i="1"/>
  <c r="AE529" i="1"/>
  <c r="AE102" i="1"/>
  <c r="AE110" i="1"/>
  <c r="AE118" i="1"/>
  <c r="AE126" i="1"/>
  <c r="AE134" i="1"/>
  <c r="AE142" i="1"/>
  <c r="AE148" i="1"/>
  <c r="AE155" i="1"/>
  <c r="AE163" i="1"/>
  <c r="AE171" i="1"/>
  <c r="AE179" i="1"/>
  <c r="AE187" i="1"/>
  <c r="AE195" i="1"/>
  <c r="AE250" i="1"/>
  <c r="AE258" i="1"/>
  <c r="AE266" i="1"/>
  <c r="AE274" i="1"/>
  <c r="AE282" i="1"/>
  <c r="AE295" i="1"/>
  <c r="AD423" i="1"/>
  <c r="AF423" i="1" s="1"/>
  <c r="AD510" i="1"/>
  <c r="AF510" i="1" s="1"/>
  <c r="AD236" i="1"/>
  <c r="AF236" i="1" s="1"/>
  <c r="AD243" i="1"/>
  <c r="AF243" i="1" s="1"/>
  <c r="AD483" i="1"/>
  <c r="AF483" i="1" s="1"/>
  <c r="AD352" i="1"/>
  <c r="AF352" i="1" s="1"/>
  <c r="AD374" i="1"/>
  <c r="AF374" i="1" s="1"/>
  <c r="AD382" i="1"/>
  <c r="AF382" i="1" s="1"/>
  <c r="AD397" i="1"/>
  <c r="AF397" i="1" s="1"/>
  <c r="AD299" i="1"/>
  <c r="AF299" i="1" s="1"/>
  <c r="AD307" i="1"/>
  <c r="AF307" i="1" s="1"/>
  <c r="AD315" i="1"/>
  <c r="AF315" i="1" s="1"/>
  <c r="AD339" i="1"/>
  <c r="AF339" i="1" s="1"/>
  <c r="AD498" i="1"/>
  <c r="AF498" i="1" s="1"/>
  <c r="AD531" i="1"/>
  <c r="AF531" i="1" s="1"/>
  <c r="AD114" i="1"/>
  <c r="AF114" i="1" s="1"/>
  <c r="AD122" i="1"/>
  <c r="AF122" i="1" s="1"/>
  <c r="AD130" i="1"/>
  <c r="AF130" i="1" s="1"/>
  <c r="AD138" i="1"/>
  <c r="AF138" i="1" s="1"/>
  <c r="AD151" i="1"/>
  <c r="AF151" i="1" s="1"/>
  <c r="AD167" i="1"/>
  <c r="AF167" i="1" s="1"/>
  <c r="AD175" i="1"/>
  <c r="AF175" i="1" s="1"/>
  <c r="AD183" i="1"/>
  <c r="AF183" i="1" s="1"/>
  <c r="AD191" i="1"/>
  <c r="AF191" i="1" s="1"/>
  <c r="AD506" i="1"/>
  <c r="AF506" i="1" s="1"/>
  <c r="AD254" i="1"/>
  <c r="AF254" i="1" s="1"/>
  <c r="AD262" i="1"/>
  <c r="AF262" i="1" s="1"/>
  <c r="AD270" i="1"/>
  <c r="AF270" i="1" s="1"/>
  <c r="AD278" i="1"/>
  <c r="AF278" i="1" s="1"/>
  <c r="AD285" i="1"/>
  <c r="AF285" i="1" s="1"/>
  <c r="AE544" i="1"/>
  <c r="AE537" i="1"/>
  <c r="AE550" i="1"/>
  <c r="AE535" i="1"/>
  <c r="AD534" i="1"/>
  <c r="AF534" i="1" s="1"/>
  <c r="AD535" i="1"/>
  <c r="AF535" i="1" s="1"/>
  <c r="AE581" i="1"/>
  <c r="AE575" i="1"/>
  <c r="AE568" i="1"/>
  <c r="AE560" i="1"/>
  <c r="AD590" i="1"/>
  <c r="AF590" i="1" s="1"/>
  <c r="AD593" i="1"/>
  <c r="AF593" i="1" s="1"/>
  <c r="AE628" i="1"/>
  <c r="AD632" i="1"/>
  <c r="AF632" i="1" s="1"/>
  <c r="AD653" i="1"/>
  <c r="AF653" i="1" s="1"/>
  <c r="AE411" i="1"/>
  <c r="AE61" i="1"/>
  <c r="AE354" i="1"/>
  <c r="AE509" i="1"/>
  <c r="AE301" i="1"/>
  <c r="AE493" i="1"/>
  <c r="AE100" i="1"/>
  <c r="AE193" i="1"/>
  <c r="AE264" i="1"/>
  <c r="AE280" i="1"/>
  <c r="AE293" i="1"/>
  <c r="AD411" i="1"/>
  <c r="AF411" i="1" s="1"/>
  <c r="AD419" i="1"/>
  <c r="AF419" i="1" s="1"/>
  <c r="AD425" i="1"/>
  <c r="AF425" i="1" s="1"/>
  <c r="AD19" i="1"/>
  <c r="AF19" i="1" s="1"/>
  <c r="AD462" i="1"/>
  <c r="AF462" i="1" s="1"/>
  <c r="AD470" i="1"/>
  <c r="AF470" i="1" s="1"/>
  <c r="AD444" i="1"/>
  <c r="AF444" i="1" s="1"/>
  <c r="AD452" i="1"/>
  <c r="AF452" i="1" s="1"/>
  <c r="AD61" i="1"/>
  <c r="AF61" i="1" s="1"/>
  <c r="AD66" i="1"/>
  <c r="AF66" i="1" s="1"/>
  <c r="AD438" i="1"/>
  <c r="AF438" i="1" s="1"/>
  <c r="AD486" i="1"/>
  <c r="AF486" i="1" s="1"/>
  <c r="AD489" i="1"/>
  <c r="AF489" i="1" s="1"/>
  <c r="AD202" i="1"/>
  <c r="AF202" i="1" s="1"/>
  <c r="AD210" i="1"/>
  <c r="AF210" i="1" s="1"/>
  <c r="AD218" i="1"/>
  <c r="AF218" i="1" s="1"/>
  <c r="AD226" i="1"/>
  <c r="AF226" i="1" s="1"/>
  <c r="AE408" i="1"/>
  <c r="AE422" i="1"/>
  <c r="AE467" i="1"/>
  <c r="AE475" i="1"/>
  <c r="AE64" i="1"/>
  <c r="AE70" i="1"/>
  <c r="AE73" i="1"/>
  <c r="AE443" i="1"/>
  <c r="AE199" i="1"/>
  <c r="AE215" i="1"/>
  <c r="AE230" i="1"/>
  <c r="AE13" i="1"/>
  <c r="AE242" i="1"/>
  <c r="AE482" i="1"/>
  <c r="AE84" i="1"/>
  <c r="AE92" i="1"/>
  <c r="AE357" i="1"/>
  <c r="AE365" i="1"/>
  <c r="AE373" i="1"/>
  <c r="AE381" i="1"/>
  <c r="AE404" i="1"/>
  <c r="AE519" i="1"/>
  <c r="AE306" i="1"/>
  <c r="AE314" i="1"/>
  <c r="AE322" i="1"/>
  <c r="AE330" i="1"/>
  <c r="AE338" i="1"/>
  <c r="AE346" i="1"/>
  <c r="AE516" i="1"/>
  <c r="AE113" i="1"/>
  <c r="AE121" i="1"/>
  <c r="AE137" i="1"/>
  <c r="AE145" i="1"/>
  <c r="AE150" i="1"/>
  <c r="AE158" i="1"/>
  <c r="AE166" i="1"/>
  <c r="AE174" i="1"/>
  <c r="AE182" i="1"/>
  <c r="AE190" i="1"/>
  <c r="AE505" i="1"/>
  <c r="AE253" i="1"/>
  <c r="AE261" i="1"/>
  <c r="AE269" i="1"/>
  <c r="AE277" i="1"/>
  <c r="AE15" i="1"/>
  <c r="AE291" i="1"/>
  <c r="AE298" i="1"/>
  <c r="AE412" i="1"/>
  <c r="AE445" i="1"/>
  <c r="AE487" i="1"/>
  <c r="AE232" i="1"/>
  <c r="AE347" i="1"/>
  <c r="AE400" i="1"/>
  <c r="AE334" i="1"/>
  <c r="AE101" i="1"/>
  <c r="AE133" i="1"/>
  <c r="AE186" i="1"/>
  <c r="AE273" i="1"/>
  <c r="AD492" i="1"/>
  <c r="AF492" i="1" s="1"/>
  <c r="AE420" i="1"/>
  <c r="AE453" i="1"/>
  <c r="AE203" i="1"/>
  <c r="AE246" i="1"/>
  <c r="AE361" i="1"/>
  <c r="AE300" i="1"/>
  <c r="AE342" i="1"/>
  <c r="AE117" i="1"/>
  <c r="AE162" i="1"/>
  <c r="AE257" i="1"/>
  <c r="AE294" i="1"/>
  <c r="AD639" i="1"/>
  <c r="AF639" i="1" s="1"/>
  <c r="AE313" i="1"/>
  <c r="AE173" i="1"/>
  <c r="AE181" i="1"/>
  <c r="AE504" i="1"/>
  <c r="AE284" i="1"/>
  <c r="AE418" i="1"/>
  <c r="AE217" i="1"/>
  <c r="AE316" i="1"/>
  <c r="AE324" i="1"/>
  <c r="AE512" i="1"/>
  <c r="AE139" i="1"/>
  <c r="AE184" i="1"/>
  <c r="AE507" i="1"/>
  <c r="AD93" i="1"/>
  <c r="AF93" i="1" s="1"/>
  <c r="AD390" i="1"/>
  <c r="AF390" i="1" s="1"/>
  <c r="AE426" i="1"/>
  <c r="AE62" i="1"/>
  <c r="AE211" i="1"/>
  <c r="AE502" i="1"/>
  <c r="AE369" i="1"/>
  <c r="AE302" i="1"/>
  <c r="AE490" i="1"/>
  <c r="AE170" i="1"/>
  <c r="AE416" i="1"/>
  <c r="AE430" i="1"/>
  <c r="AE459" i="1"/>
  <c r="AE207" i="1"/>
  <c r="AE351" i="1"/>
  <c r="AE105" i="1"/>
  <c r="AE129" i="1"/>
  <c r="AE452" i="1"/>
  <c r="AE438" i="1"/>
  <c r="AE76" i="1"/>
  <c r="AE463" i="1"/>
  <c r="AE439" i="1"/>
  <c r="AE227" i="1"/>
  <c r="AE94" i="1"/>
  <c r="AE385" i="1"/>
  <c r="AE326" i="1"/>
  <c r="AE109" i="1"/>
  <c r="AE147" i="1"/>
  <c r="AE194" i="1"/>
  <c r="AE455" i="1"/>
  <c r="AE436" i="1"/>
  <c r="AE515" i="1"/>
  <c r="AE238" i="1"/>
  <c r="AE393" i="1"/>
  <c r="AE318" i="1"/>
  <c r="AE525" i="1"/>
  <c r="AE125" i="1"/>
  <c r="AE154" i="1"/>
  <c r="AE249" i="1"/>
  <c r="AE281" i="1"/>
  <c r="AD526" i="1"/>
  <c r="AF526" i="1" s="1"/>
  <c r="AE532" i="1"/>
  <c r="AD543" i="1"/>
  <c r="AF543" i="1" s="1"/>
  <c r="AD587" i="1"/>
  <c r="AF587" i="1" s="1"/>
  <c r="AE471" i="1"/>
  <c r="AE77" i="1"/>
  <c r="AE88" i="1"/>
  <c r="AE377" i="1"/>
  <c r="AE310" i="1"/>
  <c r="AE528" i="1"/>
  <c r="AE141" i="1"/>
  <c r="AE178" i="1"/>
  <c r="AE265" i="1"/>
  <c r="AE583" i="1"/>
  <c r="AE589" i="1"/>
  <c r="AE567" i="1"/>
  <c r="AE574" i="1"/>
  <c r="AE559" i="1"/>
  <c r="AD508" i="1"/>
  <c r="AF508" i="1" s="1"/>
  <c r="AD521" i="1"/>
  <c r="AF521" i="1" s="1"/>
  <c r="AE414" i="1"/>
  <c r="AE98" i="1"/>
  <c r="AE81" i="1"/>
  <c r="AE240" i="1"/>
  <c r="AE363" i="1"/>
  <c r="AE371" i="1"/>
  <c r="AE387" i="1"/>
  <c r="AE320" i="1"/>
  <c r="AE481" i="1"/>
  <c r="AE530" i="1"/>
  <c r="AE127" i="1"/>
  <c r="AE172" i="1"/>
  <c r="AE180" i="1"/>
  <c r="AE296" i="1"/>
  <c r="AD146" i="1"/>
  <c r="AF146" i="1" s="1"/>
  <c r="AD536" i="1"/>
  <c r="AF536" i="1" s="1"/>
  <c r="AE599" i="1"/>
  <c r="AD609" i="1"/>
  <c r="AF609" i="1" s="1"/>
  <c r="AD612" i="1"/>
  <c r="AF612" i="1" s="1"/>
  <c r="AE619" i="1"/>
  <c r="AE617" i="1"/>
  <c r="AE615" i="1"/>
  <c r="AD614" i="1"/>
  <c r="AF614" i="1" s="1"/>
  <c r="AD617" i="1"/>
  <c r="AF617" i="1" s="1"/>
  <c r="AD623" i="1"/>
  <c r="AF623" i="1" s="1"/>
  <c r="AE627" i="1"/>
  <c r="AE631" i="1"/>
  <c r="AE634" i="1"/>
  <c r="AE635" i="1"/>
  <c r="AE641" i="1"/>
  <c r="AE21" i="1"/>
  <c r="AE647" i="1"/>
  <c r="AE651" i="1"/>
  <c r="AE654" i="1"/>
  <c r="AE656" i="1"/>
  <c r="AD656" i="1"/>
  <c r="AF656" i="1" s="1"/>
  <c r="AE659" i="1"/>
  <c r="AE661" i="1"/>
  <c r="AD383" i="1"/>
  <c r="AF383" i="1" s="1"/>
  <c r="AD139" i="1"/>
  <c r="AF139" i="1" s="1"/>
  <c r="AD88" i="1"/>
  <c r="AF88" i="1" s="1"/>
  <c r="AD170" i="1"/>
  <c r="AF170" i="1" s="1"/>
  <c r="AD178" i="1"/>
  <c r="AF178" i="1" s="1"/>
  <c r="AD249" i="1"/>
  <c r="AF249" i="1" s="1"/>
  <c r="AD257" i="1"/>
  <c r="AF257" i="1" s="1"/>
  <c r="AD265" i="1"/>
  <c r="AF265" i="1" s="1"/>
  <c r="AD273" i="1"/>
  <c r="AF273" i="1" s="1"/>
  <c r="AD281" i="1"/>
  <c r="AF281" i="1" s="1"/>
  <c r="AD287" i="1"/>
  <c r="AF287" i="1" s="1"/>
  <c r="AD294" i="1"/>
  <c r="AF294" i="1" s="1"/>
  <c r="AE551" i="1"/>
  <c r="AE543" i="1"/>
  <c r="AE536" i="1"/>
  <c r="AE549" i="1"/>
  <c r="AE542" i="1"/>
  <c r="AE20" i="1"/>
  <c r="AE547" i="1"/>
  <c r="AE540" i="1"/>
  <c r="AD538" i="1"/>
  <c r="AF538" i="1" s="1"/>
  <c r="AD546" i="1"/>
  <c r="AF546" i="1" s="1"/>
  <c r="AD155" i="1"/>
  <c r="AF155" i="1" s="1"/>
  <c r="AD355" i="1"/>
  <c r="AF355" i="1" s="1"/>
  <c r="AD379" i="1"/>
  <c r="AF379" i="1" s="1"/>
  <c r="AD387" i="1"/>
  <c r="AF387" i="1" s="1"/>
  <c r="AD402" i="1"/>
  <c r="AF402" i="1" s="1"/>
  <c r="AD518" i="1"/>
  <c r="AF518" i="1" s="1"/>
  <c r="AD312" i="1"/>
  <c r="AF312" i="1" s="1"/>
  <c r="AD320" i="1"/>
  <c r="AF320" i="1" s="1"/>
  <c r="AD344" i="1"/>
  <c r="AF344" i="1" s="1"/>
  <c r="AD495" i="1"/>
  <c r="AF495" i="1" s="1"/>
  <c r="AD530" i="1"/>
  <c r="AF530" i="1" s="1"/>
  <c r="AD103" i="1"/>
  <c r="AF103" i="1" s="1"/>
  <c r="AD119" i="1"/>
  <c r="AF119" i="1" s="1"/>
  <c r="AD127" i="1"/>
  <c r="AF127" i="1" s="1"/>
  <c r="AD135" i="1"/>
  <c r="AF135" i="1" s="1"/>
  <c r="AD408" i="1"/>
  <c r="AF408" i="1" s="1"/>
  <c r="AD416" i="1"/>
  <c r="AF416" i="1" s="1"/>
  <c r="AD422" i="1"/>
  <c r="AF422" i="1" s="1"/>
  <c r="AD430" i="1"/>
  <c r="AF430" i="1" s="1"/>
  <c r="AD459" i="1"/>
  <c r="AF459" i="1" s="1"/>
  <c r="AD467" i="1"/>
  <c r="AF467" i="1" s="1"/>
  <c r="AD475" i="1"/>
  <c r="AF475" i="1" s="1"/>
  <c r="AD449" i="1"/>
  <c r="AF449" i="1" s="1"/>
  <c r="AD70" i="1"/>
  <c r="AF70" i="1" s="1"/>
  <c r="AD73" i="1"/>
  <c r="AF73" i="1" s="1"/>
  <c r="AD522" i="1"/>
  <c r="AF522" i="1" s="1"/>
  <c r="AD443" i="1"/>
  <c r="AF443" i="1" s="1"/>
  <c r="AD199" i="1"/>
  <c r="AF199" i="1" s="1"/>
  <c r="AD207" i="1"/>
  <c r="AF207" i="1" s="1"/>
  <c r="AD223" i="1"/>
  <c r="AF223" i="1" s="1"/>
  <c r="AD596" i="1"/>
  <c r="AF596" i="1" s="1"/>
  <c r="AE417" i="1"/>
  <c r="AE423" i="1"/>
  <c r="AE468" i="1"/>
  <c r="AE450" i="1"/>
  <c r="AE65" i="1"/>
  <c r="AE74" i="1"/>
  <c r="AE442" i="1"/>
  <c r="AE524" i="1"/>
  <c r="AE200" i="1"/>
  <c r="AE208" i="1"/>
  <c r="AE224" i="1"/>
  <c r="AE236" i="1"/>
  <c r="AE483" i="1"/>
  <c r="AE93" i="1"/>
  <c r="AE358" i="1"/>
  <c r="AE366" i="1"/>
  <c r="AE374" i="1"/>
  <c r="AE382" i="1"/>
  <c r="AE299" i="1"/>
  <c r="AE520" i="1"/>
  <c r="AE307" i="1"/>
  <c r="AE323" i="1"/>
  <c r="AE339" i="1"/>
  <c r="AE492" i="1"/>
  <c r="AE498" i="1"/>
  <c r="AE531" i="1"/>
  <c r="AE114" i="1"/>
  <c r="AE130" i="1"/>
  <c r="AE146" i="1"/>
  <c r="AE159" i="1"/>
  <c r="AE167" i="1"/>
  <c r="AE175" i="1"/>
  <c r="AE591" i="1"/>
  <c r="AD591" i="1"/>
  <c r="AF591" i="1" s="1"/>
  <c r="AD594" i="1"/>
  <c r="AF594" i="1" s="1"/>
  <c r="AE596" i="1"/>
  <c r="AD398" i="1"/>
  <c r="AF398" i="1" s="1"/>
  <c r="AE598" i="1"/>
  <c r="AE602" i="1"/>
  <c r="AE606" i="1"/>
  <c r="AD611" i="1"/>
  <c r="AF611" i="1" s="1"/>
  <c r="AE625" i="1"/>
  <c r="AD579" i="1"/>
  <c r="AF579" i="1" s="1"/>
  <c r="AE449" i="1"/>
  <c r="AE522" i="1"/>
  <c r="AE223" i="1"/>
  <c r="AE389" i="1"/>
  <c r="AE497" i="1"/>
  <c r="AD162" i="1"/>
  <c r="AF162" i="1" s="1"/>
  <c r="AD604" i="1"/>
  <c r="AF604" i="1" s="1"/>
  <c r="AD349" i="1"/>
  <c r="AF349" i="1" s="1"/>
  <c r="AE407" i="1"/>
  <c r="AE415" i="1"/>
  <c r="AE458" i="1"/>
  <c r="AE466" i="1"/>
  <c r="AE474" i="1"/>
  <c r="AE448" i="1"/>
  <c r="AE434" i="1"/>
  <c r="AE69" i="1"/>
  <c r="AE441" i="1"/>
  <c r="AE80" i="1"/>
  <c r="AE198" i="1"/>
  <c r="AE206" i="1"/>
  <c r="AE214" i="1"/>
  <c r="AE222" i="1"/>
  <c r="AE229" i="1"/>
  <c r="AE235" i="1"/>
  <c r="AE241" i="1"/>
  <c r="AE500" i="1"/>
  <c r="AE83" i="1"/>
  <c r="AE91" i="1"/>
  <c r="AE97" i="1"/>
  <c r="AE350" i="1"/>
  <c r="AE356" i="1"/>
  <c r="AE364" i="1"/>
  <c r="AE419" i="1"/>
  <c r="AE425" i="1"/>
  <c r="AE19" i="1"/>
  <c r="AE462" i="1"/>
  <c r="AE470" i="1"/>
  <c r="AE444" i="1"/>
  <c r="AE66" i="1"/>
  <c r="AE486" i="1"/>
  <c r="AE489" i="1"/>
  <c r="AE210" i="1"/>
  <c r="AE218" i="1"/>
  <c r="AE226" i="1"/>
  <c r="AE237" i="1"/>
  <c r="AE245" i="1"/>
  <c r="AE501" i="1"/>
  <c r="AE87" i="1"/>
  <c r="AE360" i="1"/>
  <c r="AD309" i="1"/>
  <c r="AF309" i="1" s="1"/>
  <c r="AD333" i="1"/>
  <c r="AF333" i="1" s="1"/>
  <c r="AD252" i="1"/>
  <c r="AF252" i="1" s="1"/>
  <c r="AD12" i="1"/>
  <c r="AF12" i="1" s="1"/>
  <c r="AD107" i="1"/>
  <c r="AF107" i="1" s="1"/>
  <c r="AD417" i="1"/>
  <c r="AF417" i="1" s="1"/>
  <c r="AD460" i="1"/>
  <c r="AF460" i="1" s="1"/>
  <c r="AD468" i="1"/>
  <c r="AF468" i="1" s="1"/>
  <c r="AD476" i="1"/>
  <c r="AF476" i="1" s="1"/>
  <c r="AD65" i="1"/>
  <c r="AF65" i="1" s="1"/>
  <c r="AD442" i="1"/>
  <c r="AF442" i="1" s="1"/>
  <c r="AD524" i="1"/>
  <c r="AF524" i="1" s="1"/>
  <c r="AD13" i="1"/>
  <c r="AF13" i="1" s="1"/>
  <c r="AD242" i="1"/>
  <c r="AF242" i="1" s="1"/>
  <c r="AD97" i="1"/>
  <c r="AF97" i="1" s="1"/>
  <c r="AD356" i="1"/>
  <c r="AF356" i="1" s="1"/>
  <c r="AD388" i="1"/>
  <c r="AF388" i="1" s="1"/>
  <c r="AD286" i="1"/>
  <c r="AF286" i="1" s="1"/>
  <c r="AD655" i="1"/>
  <c r="AF655" i="1" s="1"/>
  <c r="AE368" i="1"/>
  <c r="AE376" i="1"/>
  <c r="AE384" i="1"/>
  <c r="AE392" i="1"/>
  <c r="AE399" i="1"/>
  <c r="AE309" i="1"/>
  <c r="AE317" i="1"/>
  <c r="AE325" i="1"/>
  <c r="AE333" i="1"/>
  <c r="AE341" i="1"/>
  <c r="AE479" i="1"/>
  <c r="AE108" i="1"/>
  <c r="AE116" i="1"/>
  <c r="AE124" i="1"/>
  <c r="AE132" i="1"/>
  <c r="AE140" i="1"/>
  <c r="AE153" i="1"/>
  <c r="AE161" i="1"/>
  <c r="AE169" i="1"/>
  <c r="AE177" i="1"/>
  <c r="AE185" i="1"/>
  <c r="AE248" i="1"/>
  <c r="AE256" i="1"/>
  <c r="AE272" i="1"/>
  <c r="AE16" i="1"/>
  <c r="AE421" i="1"/>
  <c r="AE428" i="1"/>
  <c r="AE473" i="1"/>
  <c r="AE433" i="1"/>
  <c r="AE79" i="1"/>
  <c r="AE213" i="1"/>
  <c r="AE234" i="1"/>
  <c r="AE82" i="1"/>
  <c r="AE96" i="1"/>
  <c r="AE349" i="1"/>
  <c r="AE395" i="1"/>
  <c r="AE402" i="1"/>
  <c r="AE312" i="1"/>
  <c r="AE328" i="1"/>
  <c r="AE495" i="1"/>
  <c r="AE103" i="1"/>
  <c r="AE111" i="1"/>
  <c r="AE143" i="1"/>
  <c r="AE164" i="1"/>
  <c r="AE289" i="1"/>
  <c r="AE461" i="1"/>
  <c r="AE469" i="1"/>
  <c r="AE477" i="1"/>
  <c r="AE437" i="1"/>
  <c r="AE514" i="1"/>
  <c r="AE488" i="1"/>
  <c r="AE14" i="1"/>
  <c r="AE86" i="1"/>
  <c r="AE367" i="1"/>
  <c r="AE398" i="1"/>
  <c r="AE508" i="1"/>
  <c r="AE521" i="1"/>
  <c r="AE308" i="1"/>
  <c r="AE332" i="1"/>
  <c r="AE12" i="1"/>
  <c r="AE107" i="1"/>
  <c r="AE115" i="1"/>
  <c r="AE123" i="1"/>
  <c r="AE152" i="1"/>
  <c r="AE255" i="1"/>
  <c r="AE279" i="1"/>
  <c r="AE292" i="1"/>
  <c r="AD413" i="1"/>
  <c r="AF413" i="1" s="1"/>
  <c r="AD427" i="1"/>
  <c r="AF427" i="1" s="1"/>
  <c r="AD63" i="1"/>
  <c r="AF63" i="1" s="1"/>
  <c r="AD440" i="1"/>
  <c r="AF440" i="1" s="1"/>
  <c r="AD78" i="1"/>
  <c r="AF78" i="1" s="1"/>
  <c r="AD220" i="1"/>
  <c r="AF220" i="1" s="1"/>
  <c r="AD228" i="1"/>
  <c r="AF228" i="1" s="1"/>
  <c r="AD517" i="1"/>
  <c r="AF517" i="1" s="1"/>
  <c r="AD527" i="1"/>
  <c r="AF527" i="1" s="1"/>
  <c r="AD152" i="1"/>
  <c r="AF152" i="1" s="1"/>
  <c r="AD272" i="1"/>
  <c r="AF272" i="1" s="1"/>
  <c r="AD280" i="1"/>
  <c r="AF280" i="1" s="1"/>
  <c r="AD429" i="1"/>
  <c r="AF429" i="1" s="1"/>
  <c r="AD458" i="1"/>
  <c r="AF458" i="1" s="1"/>
  <c r="AD206" i="1"/>
  <c r="AF206" i="1" s="1"/>
  <c r="AD214" i="1"/>
  <c r="AF214" i="1" s="1"/>
  <c r="AD598" i="1"/>
  <c r="AF598" i="1" s="1"/>
  <c r="AE380" i="1"/>
  <c r="AE388" i="1"/>
  <c r="AE396" i="1"/>
  <c r="AE403" i="1"/>
  <c r="AE513" i="1"/>
  <c r="AE305" i="1"/>
  <c r="AE329" i="1"/>
  <c r="AE337" i="1"/>
  <c r="AE345" i="1"/>
  <c r="AE491" i="1"/>
  <c r="AE496" i="1"/>
  <c r="AE104" i="1"/>
  <c r="AE112" i="1"/>
  <c r="AE128" i="1"/>
  <c r="AE136" i="1"/>
  <c r="AE144" i="1"/>
  <c r="AE149" i="1"/>
  <c r="AE165" i="1"/>
  <c r="AE189" i="1"/>
  <c r="AE252" i="1"/>
  <c r="AE260" i="1"/>
  <c r="AE268" i="1"/>
  <c r="AE276" i="1"/>
  <c r="AD209" i="1"/>
  <c r="AF209" i="1" s="1"/>
  <c r="AD357" i="1"/>
  <c r="AF357" i="1" s="1"/>
  <c r="AD358" i="1"/>
  <c r="AF358" i="1" s="1"/>
  <c r="AD219" i="1"/>
  <c r="AF219" i="1" s="1"/>
  <c r="AE410" i="1"/>
  <c r="AE424" i="1"/>
  <c r="AE451" i="1"/>
  <c r="AE99" i="1"/>
  <c r="AE435" i="1"/>
  <c r="AE75" i="1"/>
  <c r="AE209" i="1"/>
  <c r="AE231" i="1"/>
  <c r="AE359" i="1"/>
  <c r="AE375" i="1"/>
  <c r="AE383" i="1"/>
  <c r="AE340" i="1"/>
  <c r="AE526" i="1"/>
  <c r="AE131" i="1"/>
  <c r="AE176" i="1"/>
  <c r="AE192" i="1"/>
  <c r="AE263" i="1"/>
  <c r="AE271" i="1"/>
  <c r="AE286" i="1"/>
  <c r="AE379" i="1"/>
  <c r="AD71" i="1"/>
  <c r="AF71" i="1" s="1"/>
  <c r="AD74" i="1"/>
  <c r="AF74" i="1" s="1"/>
  <c r="AD238" i="1"/>
  <c r="AF238" i="1" s="1"/>
  <c r="AD350" i="1"/>
  <c r="AF350" i="1" s="1"/>
  <c r="AD364" i="1"/>
  <c r="AF364" i="1" s="1"/>
  <c r="AD277" i="1"/>
  <c r="AF277" i="1" s="1"/>
  <c r="AD393" i="1"/>
  <c r="AF393" i="1" s="1"/>
  <c r="AD193" i="1"/>
  <c r="AF193" i="1" s="1"/>
  <c r="AD230" i="1"/>
  <c r="AF230" i="1" s="1"/>
  <c r="AE90" i="1"/>
  <c r="AE336" i="1"/>
  <c r="AE156" i="1"/>
  <c r="AE188" i="1"/>
  <c r="AE485" i="1"/>
  <c r="AE283" i="1"/>
  <c r="AE476" i="1"/>
  <c r="AE191" i="1"/>
  <c r="AE278" i="1"/>
  <c r="AD384" i="1"/>
  <c r="AF384" i="1" s="1"/>
  <c r="AD200" i="1"/>
  <c r="AF200" i="1" s="1"/>
  <c r="AD574" i="1"/>
  <c r="AF574" i="1" s="1"/>
  <c r="AD279" i="1"/>
  <c r="AF279" i="1" s="1"/>
  <c r="AD406" i="1"/>
  <c r="AF406" i="1" s="1"/>
  <c r="AD323" i="1"/>
  <c r="AF323" i="1" s="1"/>
  <c r="AD360" i="1"/>
  <c r="AF360" i="1" s="1"/>
  <c r="AD316" i="1"/>
  <c r="AF316" i="1" s="1"/>
  <c r="AD181" i="1"/>
  <c r="AF181" i="1" s="1"/>
  <c r="AD188" i="1"/>
  <c r="AF188" i="1" s="1"/>
  <c r="AD441" i="1"/>
  <c r="AF441" i="1" s="1"/>
  <c r="AE201" i="1"/>
  <c r="AE225" i="1"/>
  <c r="AE391" i="1"/>
  <c r="AD500" i="1"/>
  <c r="AF500" i="1" s="1"/>
  <c r="AD158" i="1"/>
  <c r="AF158" i="1" s="1"/>
  <c r="AE202" i="1"/>
  <c r="AD520" i="1"/>
  <c r="AF520" i="1" s="1"/>
  <c r="AD571" i="1"/>
  <c r="AF571" i="1" s="1"/>
  <c r="AD403" i="1"/>
  <c r="AF403" i="1" s="1"/>
  <c r="AD337" i="1"/>
  <c r="AF337" i="1" s="1"/>
  <c r="AD568" i="1"/>
  <c r="AF568" i="1" s="1"/>
  <c r="AD580" i="1"/>
  <c r="AF580" i="1" s="1"/>
  <c r="AD295" i="1"/>
  <c r="AF295" i="1" s="1"/>
  <c r="AE406" i="1"/>
  <c r="AE457" i="1"/>
  <c r="AE465" i="1"/>
  <c r="AE68" i="1"/>
  <c r="AE197" i="1"/>
  <c r="AE221" i="1"/>
  <c r="AE499" i="1"/>
  <c r="AE355" i="1"/>
  <c r="AE518" i="1"/>
  <c r="AE344" i="1"/>
  <c r="AE119" i="1"/>
  <c r="AE135" i="1"/>
  <c r="AE251" i="1"/>
  <c r="AE259" i="1"/>
  <c r="AE267" i="1"/>
  <c r="AE275" i="1"/>
  <c r="AD85" i="1"/>
  <c r="AF85" i="1" s="1"/>
  <c r="AD478" i="1"/>
  <c r="AF478" i="1" s="1"/>
  <c r="AD140" i="1"/>
  <c r="AF140" i="1" s="1"/>
  <c r="AD213" i="1"/>
  <c r="AF213" i="1" s="1"/>
  <c r="AD664" i="1"/>
  <c r="AF664" i="1" s="1"/>
  <c r="AE22" i="1"/>
  <c r="AD482" i="1"/>
  <c r="AF482" i="1" s="1"/>
  <c r="AD509" i="1"/>
  <c r="AF509" i="1" s="1"/>
  <c r="AD159" i="1"/>
  <c r="AF159" i="1" s="1"/>
  <c r="AD266" i="1"/>
  <c r="AF266" i="1" s="1"/>
  <c r="AD472" i="1"/>
  <c r="AF472" i="1" s="1"/>
  <c r="AD90" i="1"/>
  <c r="AF90" i="1" s="1"/>
  <c r="AD276" i="1"/>
  <c r="AF276" i="1" s="1"/>
  <c r="AD385" i="1"/>
  <c r="AF385" i="1" s="1"/>
  <c r="AD559" i="1"/>
  <c r="AF559" i="1" s="1"/>
  <c r="AD665" i="1"/>
  <c r="AF665" i="1" s="1"/>
  <c r="AD244" i="1"/>
  <c r="AF244" i="1" s="1"/>
  <c r="AD481" i="1"/>
  <c r="AF481" i="1" s="1"/>
  <c r="AD143" i="1"/>
  <c r="AF143" i="1" s="1"/>
  <c r="AD428" i="1"/>
  <c r="AF428" i="1" s="1"/>
  <c r="AD129" i="1"/>
  <c r="AF129" i="1" s="1"/>
  <c r="AD586" i="1"/>
  <c r="AF586" i="1" s="1"/>
  <c r="AD616" i="1"/>
  <c r="AF616" i="1" s="1"/>
  <c r="AD466" i="1"/>
  <c r="AF466" i="1" s="1"/>
  <c r="AD474" i="1"/>
  <c r="AF474" i="1" s="1"/>
  <c r="AD448" i="1"/>
  <c r="AF448" i="1" s="1"/>
  <c r="AD198" i="1"/>
  <c r="AF198" i="1" s="1"/>
  <c r="AD229" i="1"/>
  <c r="AF229" i="1" s="1"/>
  <c r="AD395" i="1"/>
  <c r="AF395" i="1" s="1"/>
  <c r="AD409" i="1"/>
  <c r="AF409" i="1" s="1"/>
  <c r="AD196" i="1"/>
  <c r="AF196" i="1" s="1"/>
  <c r="AD343" i="1"/>
  <c r="AF343" i="1" s="1"/>
  <c r="AD124" i="1"/>
  <c r="AF124" i="1" s="1"/>
  <c r="AD560" i="1"/>
  <c r="AF560" i="1" s="1"/>
  <c r="AD502" i="1"/>
  <c r="AF502" i="1" s="1"/>
  <c r="AD187" i="1"/>
  <c r="AF187" i="1" s="1"/>
  <c r="AD565" i="1"/>
  <c r="AF565" i="1" s="1"/>
  <c r="AD583" i="1"/>
  <c r="AF583" i="1" s="1"/>
  <c r="AD407" i="1"/>
  <c r="AF407" i="1" s="1"/>
  <c r="AD415" i="1"/>
  <c r="AF415" i="1" s="1"/>
  <c r="AD434" i="1"/>
  <c r="AF434" i="1" s="1"/>
  <c r="AD69" i="1"/>
  <c r="AF69" i="1" s="1"/>
  <c r="AD523" i="1"/>
  <c r="AF523" i="1" s="1"/>
  <c r="AD233" i="1"/>
  <c r="AF233" i="1" s="1"/>
  <c r="AD499" i="1"/>
  <c r="AF499" i="1" s="1"/>
  <c r="AD363" i="1"/>
  <c r="AF363" i="1" s="1"/>
  <c r="AD555" i="1"/>
  <c r="AF555" i="1" s="1"/>
  <c r="AD76" i="1"/>
  <c r="AF76" i="1" s="1"/>
  <c r="AD96" i="1"/>
  <c r="AF96" i="1" s="1"/>
  <c r="AD572" i="1"/>
  <c r="AF572" i="1" s="1"/>
  <c r="AE664" i="1"/>
  <c r="AD211" i="1"/>
  <c r="AF211" i="1" s="1"/>
  <c r="AD662" i="1"/>
  <c r="AF662" i="1" s="1"/>
  <c r="AD212" i="1"/>
  <c r="AF212" i="1" s="1"/>
  <c r="AE662" i="1"/>
  <c r="AD362" i="1"/>
  <c r="AF362" i="1" s="1"/>
  <c r="AD667" i="1"/>
  <c r="AF667" i="1" s="1"/>
  <c r="AD666" i="1"/>
  <c r="AF666" i="1" s="1"/>
  <c r="AD22" i="1"/>
  <c r="AF22" i="1" s="1"/>
  <c r="AE666" i="1"/>
  <c r="AE667" i="1"/>
  <c r="AI61" i="1"/>
  <c r="AD663" i="1"/>
  <c r="AF663" i="1" s="1"/>
  <c r="AE663" i="1"/>
  <c r="AE665" i="1"/>
  <c r="O8" i="1" l="1"/>
  <c r="R8" i="1" s="1"/>
  <c r="W5" i="1"/>
</calcChain>
</file>

<file path=xl/sharedStrings.xml><?xml version="1.0" encoding="utf-8"?>
<sst xmlns="http://schemas.openxmlformats.org/spreadsheetml/2006/main" count="17992" uniqueCount="1364">
  <si>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</si>
  <si>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</si>
  <si>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</si>
  <si>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</si>
  <si>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</si>
  <si>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</si>
  <si>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</si>
  <si>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</si>
  <si>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</si>
  <si>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</si>
  <si>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</si>
  <si>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</si>
  <si>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</si>
  <si>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</si>
  <si>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</si>
  <si>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</si>
  <si>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</si>
  <si>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</si>
  <si>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</si>
  <si>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</si>
  <si>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</si>
  <si>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</si>
  <si>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</si>
  <si>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</si>
  <si>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</si>
  <si>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</si>
  <si>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</si>
  <si>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</si>
  <si>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</si>
  <si>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</si>
  <si>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</si>
  <si>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</si>
  <si>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</si>
  <si>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</si>
  <si>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</si>
  <si>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</si>
  <si>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</si>
  <si>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</si>
  <si>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</si>
  <si>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</si>
  <si>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</si>
  <si>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</si>
  <si>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</si>
  <si>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</si>
  <si>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</si>
  <si>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</si>
  <si>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</si>
  <si>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</si>
  <si>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</si>
  <si>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</si>
  <si>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</si>
  <si>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</si>
  <si>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</si>
  <si>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</si>
  <si>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</si>
  <si>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</si>
  <si>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</si>
  <si>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</si>
  <si>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</si>
  <si>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</si>
  <si>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</si>
  <si>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</si>
  <si>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</si>
  <si>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</si>
  <si>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</si>
  <si>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</si>
  <si>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</si>
  <si>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</si>
  <si>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</si>
  <si>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</si>
  <si>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</si>
  <si>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</si>
  <si>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</si>
  <si>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</si>
  <si>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</si>
  <si>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</si>
  <si>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</si>
  <si>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</si>
  <si>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</si>
  <si>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</si>
  <si>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</si>
  <si>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</si>
  <si>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</si>
  <si>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</si>
  <si>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</si>
  <si>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</si>
  <si>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</si>
  <si>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</si>
  <si>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</si>
  <si>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</si>
  <si>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</si>
  <si>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</si>
  <si>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</si>
  <si>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</si>
  <si>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</si>
  <si>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</si>
  <si>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</si>
  <si>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</si>
  <si>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</si>
  <si>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</si>
  <si>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</si>
  <si>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</si>
  <si>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</si>
  <si>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</si>
  <si>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</si>
  <si>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</si>
  <si>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</si>
  <si>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</si>
  <si>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</si>
  <si>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</si>
  <si>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</si>
  <si>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</si>
  <si>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</si>
  <si>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</si>
  <si>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</si>
  <si>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</si>
  <si>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</si>
  <si>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</si>
  <si>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</si>
  <si>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</si>
  <si>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</si>
  <si>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</si>
  <si>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</si>
  <si>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</si>
  <si>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</si>
  <si>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</si>
  <si>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</si>
  <si>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</si>
  <si>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</si>
  <si>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</si>
  <si>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</si>
  <si>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</si>
  <si>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</si>
  <si>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</si>
  <si>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</si>
  <si>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</si>
  <si>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</si>
  <si>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</si>
  <si>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</si>
  <si>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</si>
  <si>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</si>
  <si>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</si>
  <si>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</si>
  <si>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</si>
  <si>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</si>
  <si>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</si>
  <si>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</si>
  <si>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</si>
  <si>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</si>
  <si>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</si>
  <si>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</si>
  <si>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</si>
  <si>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</si>
  <si>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</si>
  <si>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</si>
  <si>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</si>
  <si>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</si>
  <si>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</si>
  <si>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</si>
  <si>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</si>
  <si>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</si>
  <si>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</si>
  <si>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</si>
  <si>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</si>
  <si>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</si>
  <si>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</si>
  <si>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</si>
  <si>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</si>
  <si>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</si>
  <si>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</si>
  <si>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</si>
  <si>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</si>
  <si>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</si>
  <si>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</si>
  <si>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</si>
  <si>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</si>
  <si>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</si>
  <si>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</si>
  <si>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</si>
  <si>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</si>
  <si>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</si>
  <si>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</si>
  <si>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</si>
  <si>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</si>
  <si>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</si>
  <si>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</si>
  <si>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</si>
  <si>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</si>
  <si>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</si>
  <si>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</si>
  <si>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</si>
  <si>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</si>
  <si>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</si>
  <si>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</si>
  <si>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</si>
  <si>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</si>
  <si>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</si>
  <si>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</si>
  <si>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</si>
  <si>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</si>
  <si>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</si>
  <si>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</si>
  <si>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</si>
  <si>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</si>
  <si>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</si>
  <si>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</si>
  <si>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</si>
  <si>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</si>
  <si>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</si>
  <si>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</si>
  <si>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</si>
  <si>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</si>
  <si>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</si>
  <si>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</si>
  <si>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</si>
  <si>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</si>
  <si>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</si>
  <si>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</si>
  <si>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</si>
  <si>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</si>
  <si>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</si>
  <si>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</si>
  <si>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</si>
  <si>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</si>
  <si>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</si>
  <si>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</si>
  <si>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</si>
  <si>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</si>
  <si>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</si>
  <si>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</si>
  <si>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</si>
  <si>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</si>
  <si>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</si>
  <si>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</si>
  <si>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</si>
  <si>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</si>
  <si>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</si>
  <si>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</si>
  <si>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</si>
  <si>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</si>
  <si>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</si>
  <si>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</si>
  <si>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</si>
  <si>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</si>
  <si>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</si>
  <si>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</si>
  <si>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</si>
  <si>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</si>
  <si>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</si>
  <si>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</si>
  <si>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</si>
  <si>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</si>
  <si>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</si>
  <si>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</si>
  <si>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</si>
  <si>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</si>
  <si>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</si>
  <si>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</si>
  <si>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</si>
  <si>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</si>
  <si>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</si>
  <si>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</si>
  <si>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</si>
  <si>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</si>
  <si>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</si>
  <si>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</si>
  <si>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</si>
  <si>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</si>
  <si>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</si>
  <si>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</si>
  <si>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</si>
  <si>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</si>
  <si>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</si>
  <si>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</si>
  <si>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</si>
  <si>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</si>
  <si>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</si>
  <si>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</si>
  <si>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</si>
  <si>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</si>
  <si>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</si>
  <si>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</si>
  <si>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</si>
  <si>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</si>
  <si>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</si>
  <si>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</si>
  <si>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</si>
  <si>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</si>
  <si>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</si>
  <si>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</si>
  <si>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</si>
  <si>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</si>
  <si>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</si>
  <si>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</si>
  <si>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</si>
  <si>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</si>
  <si>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</si>
  <si>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</si>
  <si>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</si>
  <si>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</si>
  <si>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</si>
  <si>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</si>
  <si>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</si>
  <si>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</si>
  <si>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</si>
  <si>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</si>
  <si>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</si>
  <si>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</si>
  <si>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</si>
  <si>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</si>
  <si>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</si>
  <si>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</si>
  <si>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</si>
  <si>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</si>
  <si>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</si>
  <si>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</si>
  <si>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</si>
  <si>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</si>
  <si>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</si>
  <si>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</si>
  <si>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</si>
  <si>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</si>
  <si>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</si>
  <si>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</si>
  <si>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</si>
  <si>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</si>
  <si>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</si>
  <si>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</si>
  <si>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</si>
  <si>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</si>
  <si>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</si>
  <si>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</si>
  <si>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</si>
  <si>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</si>
  <si>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</si>
  <si>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</si>
  <si>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</si>
  <si>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</si>
  <si>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</si>
  <si>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</si>
  <si>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</si>
  <si>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</si>
  <si>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</si>
  <si>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</si>
  <si>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</si>
  <si>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</si>
  <si>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</si>
  <si>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</si>
  <si>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</si>
  <si>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</si>
  <si>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</si>
  <si>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</si>
  <si>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</si>
  <si>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</si>
  <si>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</si>
  <si>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</si>
  <si>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</si>
  <si>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</si>
  <si>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</si>
  <si>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</si>
  <si>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</si>
  <si>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</si>
  <si>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</si>
  <si>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</si>
  <si>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</si>
  <si>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</si>
  <si>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</si>
  <si>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</si>
  <si>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</si>
  <si>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</si>
  <si>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</si>
  <si>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</si>
  <si>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</si>
  <si>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</si>
  <si>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</si>
  <si>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</si>
  <si>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</si>
  <si>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</si>
  <si>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</si>
  <si>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</si>
  <si>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</si>
  <si>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</si>
  <si>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</si>
  <si>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</si>
  <si>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</si>
  <si>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</si>
  <si>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</si>
  <si>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</si>
  <si>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</si>
  <si>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</si>
  <si>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</si>
  <si>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</si>
  <si>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</si>
  <si>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</si>
  <si>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</si>
  <si>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</si>
  <si>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</si>
  <si>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</si>
  <si>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</si>
  <si>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</si>
  <si>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</si>
  <si>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</si>
  <si>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</si>
  <si>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</si>
  <si>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</si>
  <si>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</si>
  <si>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</si>
  <si>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</si>
  <si>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</si>
  <si>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</si>
  <si>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</si>
  <si>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</si>
  <si>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</si>
  <si>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</si>
  <si>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</si>
  <si>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</si>
  <si>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</si>
  <si>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</si>
  <si>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</si>
  <si>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</si>
  <si>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</si>
  <si>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</si>
  <si>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</si>
  <si>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</si>
  <si>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</si>
  <si>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</si>
  <si>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</si>
  <si>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</si>
  <si>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</si>
  <si>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</si>
  <si>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</si>
  <si>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</si>
  <si>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</si>
  <si>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</si>
  <si>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</si>
  <si>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</si>
  <si>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</si>
  <si>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</si>
  <si>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</si>
  <si>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</si>
  <si>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</si>
  <si>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</si>
  <si>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</si>
  <si>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</si>
  <si>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</si>
  <si>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</si>
  <si>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</si>
  <si>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</si>
  <si>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</si>
  <si>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</si>
  <si>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</si>
  <si>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</si>
  <si>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</si>
  <si>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</si>
  <si>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</si>
  <si>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</si>
  <si>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</si>
  <si>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</si>
  <si>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</si>
  <si>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</si>
  <si>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</si>
  <si>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</si>
  <si>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</si>
  <si>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</si>
  <si>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</si>
  <si>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</si>
  <si>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</si>
  <si>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</si>
  <si>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</si>
  <si>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</si>
  <si>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</si>
  <si>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</si>
  <si>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</si>
  <si>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</si>
  <si>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</si>
  <si>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</si>
  <si>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</si>
  <si>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</si>
  <si>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</si>
  <si>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</si>
  <si>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</si>
  <si>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</si>
  <si>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</si>
  <si>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</si>
  <si>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</si>
  <si>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</si>
  <si>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</si>
  <si>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</si>
  <si>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</si>
  <si>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</si>
  <si>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</si>
  <si>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</si>
  <si>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</si>
  <si>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</si>
  <si>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</si>
  <si>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</si>
  <si>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</si>
  <si>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</si>
  <si>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</si>
  <si>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</si>
  <si>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</si>
  <si>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</si>
  <si>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</si>
  <si>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</si>
  <si>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</si>
  <si>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</si>
  <si>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</si>
  <si>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</si>
  <si>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</si>
  <si>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</si>
  <si>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</si>
  <si>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</si>
  <si>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</si>
  <si>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</si>
  <si>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</si>
  <si>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</si>
  <si>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</si>
  <si>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</si>
  <si>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</si>
  <si>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</si>
  <si>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</si>
  <si>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</si>
  <si>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</si>
  <si>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</si>
  <si>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</si>
  <si>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</si>
  <si>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</si>
  <si>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</si>
  <si>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</si>
  <si>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</si>
  <si>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</si>
  <si>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</si>
  <si>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</si>
  <si>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</si>
  <si>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</si>
  <si>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</si>
  <si>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</si>
  <si>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</si>
  <si>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</si>
  <si>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</si>
  <si>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</si>
  <si>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</si>
  <si>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</si>
  <si>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</si>
  <si>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</si>
  <si>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</si>
  <si>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</si>
  <si>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</si>
  <si>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</si>
  <si>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</si>
  <si>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</si>
  <si>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</si>
  <si>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</si>
  <si>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</si>
  <si>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</si>
  <si>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</si>
  <si>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</si>
  <si>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</si>
  <si>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</si>
  <si>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</si>
  <si>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</si>
  <si>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</si>
  <si>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</si>
  <si>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</si>
  <si>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</si>
  <si>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</si>
  <si>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</si>
  <si>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</si>
  <si>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</si>
  <si>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</si>
  <si>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</si>
  <si>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</si>
  <si>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</si>
  <si>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</si>
  <si>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</si>
  <si>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</si>
  <si>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</si>
  <si>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</si>
  <si>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</si>
  <si>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</si>
  <si>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</si>
  <si>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</si>
  <si>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</si>
  <si>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</si>
  <si>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</si>
  <si>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</si>
  <si>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</si>
  <si>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</si>
  <si>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</si>
  <si>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</si>
  <si>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</si>
  <si>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</si>
  <si>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</si>
  <si>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</si>
  <si>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</si>
  <si>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</si>
  <si>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</si>
  <si>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</si>
  <si>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</si>
  <si>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</si>
  <si>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</si>
  <si>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</si>
  <si>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</si>
  <si>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</si>
  <si>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</si>
  <si>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</si>
  <si>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</si>
  <si>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</si>
  <si>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</si>
  <si>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</si>
  <si>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</si>
  <si>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</si>
  <si>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</si>
  <si>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</si>
  <si>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</si>
  <si>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</si>
  <si>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</si>
  <si>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</si>
  <si>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</si>
  <si>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</si>
  <si>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</si>
  <si>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</si>
  <si>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</si>
  <si>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</si>
  <si>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</si>
  <si>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</si>
  <si>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</si>
  <si>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</si>
  <si>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</si>
  <si>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</si>
  <si>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</si>
  <si>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</si>
  <si>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</si>
  <si>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</si>
  <si>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</si>
  <si>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</si>
  <si>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</si>
  <si>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</si>
  <si>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</si>
  <si>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</si>
  <si>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</si>
  <si>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</si>
  <si>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</si>
  <si>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</si>
  <si>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</si>
  <si>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</si>
  <si>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</si>
  <si>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</si>
  <si>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</si>
  <si>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</si>
  <si>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</si>
  <si>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</si>
  <si>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</si>
  <si>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</si>
  <si>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</si>
  <si>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</si>
  <si>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</si>
  <si>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</si>
  <si>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</si>
  <si>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</si>
  <si>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</si>
  <si>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</si>
  <si>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</si>
  <si>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</si>
  <si>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</si>
  <si>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</si>
  <si>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</si>
  <si>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</si>
  <si>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</si>
  <si>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</si>
  <si>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</si>
  <si>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</si>
  <si>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</si>
  <si>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</si>
  <si>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</si>
  <si>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</si>
  <si>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</si>
  <si>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</si>
  <si>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</si>
  <si>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</si>
  <si>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</si>
  <si>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</si>
  <si>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</si>
  <si>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</si>
  <si>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</si>
  <si>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</si>
  <si>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</si>
  <si>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</si>
  <si>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</si>
  <si>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</si>
  <si>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</si>
  <si>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</si>
  <si>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</si>
  <si>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</si>
  <si>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</si>
  <si>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</si>
  <si>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</si>
  <si>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</si>
  <si>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</si>
  <si>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</si>
  <si>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</si>
  <si>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</si>
  <si>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</si>
  <si>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</si>
  <si>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</si>
  <si>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</si>
  <si>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</si>
  <si>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</si>
  <si>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</si>
  <si>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</si>
  <si>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</si>
  <si>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</si>
  <si>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</si>
  <si>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</si>
  <si>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</si>
  <si>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</si>
  <si>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</si>
  <si>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</si>
  <si>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</si>
  <si>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</si>
  <si>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</si>
  <si>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</si>
  <si>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</si>
  <si>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</si>
  <si>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</si>
  <si>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</si>
  <si>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</si>
  <si>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</si>
  <si>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</si>
  <si>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</si>
  <si>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</si>
  <si>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</si>
  <si>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</si>
  <si>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</si>
  <si>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</si>
  <si>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</si>
  <si>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</si>
  <si>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</si>
  <si>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</si>
  <si>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</si>
  <si>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</si>
  <si>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</si>
  <si>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</si>
  <si>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</si>
  <si>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</si>
  <si>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</si>
  <si>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</si>
  <si>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</si>
  <si>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</si>
  <si>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</si>
  <si>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</si>
  <si>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</si>
  <si>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</si>
  <si>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</si>
  <si>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</si>
  <si>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</si>
  <si>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</si>
  <si>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</si>
  <si>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</si>
  <si>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</si>
  <si>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</si>
  <si>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</si>
  <si>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</si>
  <si>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</si>
  <si>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</si>
  <si>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</si>
  <si>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</si>
  <si>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</si>
  <si>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</si>
  <si>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</si>
  <si>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</si>
  <si>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</si>
  <si>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</si>
  <si>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</si>
  <si>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</si>
  <si>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</si>
  <si>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</si>
  <si>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</si>
  <si>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</si>
  <si>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</si>
  <si>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</si>
  <si>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</si>
  <si>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</si>
  <si>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</si>
  <si>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</si>
  <si>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</si>
  <si>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</si>
  <si>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</si>
  <si>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</si>
  <si>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</si>
  <si>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</si>
  <si>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</si>
  <si>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</si>
  <si>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</si>
  <si>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</si>
  <si>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</si>
  <si>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</si>
  <si>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</si>
  <si>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</si>
  <si>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</si>
  <si>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</si>
  <si>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</si>
  <si>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</si>
  <si>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</si>
  <si>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</si>
  <si>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</si>
  <si>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</si>
  <si>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</si>
  <si>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</si>
  <si>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</si>
  <si>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</si>
  <si>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</si>
  <si>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</si>
  <si>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</si>
  <si>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</si>
  <si>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</si>
  <si>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</si>
  <si>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</si>
  <si>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</si>
  <si>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</si>
  <si>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</si>
  <si>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</si>
  <si>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</si>
  <si>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</si>
  <si>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</si>
  <si>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</si>
  <si>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</si>
  <si>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</si>
  <si>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</si>
  <si>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</si>
  <si>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</si>
  <si>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</si>
  <si>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</si>
  <si>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</si>
  <si>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</si>
  <si>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</si>
  <si>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</si>
  <si>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</si>
  <si>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</si>
  <si>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</si>
  <si>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</si>
  <si>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</si>
  <si>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</si>
  <si>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</si>
  <si>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</si>
  <si>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</si>
  <si>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</si>
  <si>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</si>
  <si>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</si>
  <si>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</si>
  <si>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</si>
  <si>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</si>
  <si>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</si>
  <si>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</si>
  <si>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</si>
  <si>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</si>
  <si>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</si>
  <si>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</si>
  <si>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</si>
  <si>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</si>
  <si>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</si>
  <si>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</si>
  <si>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</si>
  <si>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</si>
  <si>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</si>
  <si>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</si>
  <si>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</si>
  <si>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</si>
  <si>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</si>
  <si>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</si>
  <si>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</si>
  <si>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</si>
  <si>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</si>
  <si>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</si>
  <si>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</si>
  <si>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</si>
  <si>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</si>
  <si>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</si>
  <si>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</si>
  <si>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</si>
  <si>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</si>
  <si>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</si>
  <si>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</si>
  <si>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</si>
  <si>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</si>
  <si>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</si>
  <si>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</si>
  <si>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</si>
  <si>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</si>
  <si>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</si>
  <si>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</si>
  <si>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</si>
  <si>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</si>
  <si>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</si>
  <si>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</si>
  <si>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</si>
  <si>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</si>
  <si>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</si>
  <si>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</si>
  <si>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</si>
  <si>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</si>
  <si>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</si>
  <si>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</si>
  <si>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</si>
  <si>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</si>
  <si>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</si>
  <si>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</si>
  <si>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</si>
  <si>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</si>
  <si>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</si>
  <si>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</si>
  <si>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</si>
  <si>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</si>
  <si>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</si>
  <si>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</si>
  <si>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</si>
  <si>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</si>
  <si>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</si>
  <si>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</si>
  <si>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</si>
  <si>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</si>
  <si>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</si>
  <si>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</si>
  <si>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</si>
  <si>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</si>
  <si>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</si>
  <si>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</si>
  <si>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</si>
  <si>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</si>
  <si>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</si>
  <si>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</si>
  <si>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</si>
  <si>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</si>
  <si>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</si>
  <si>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</si>
  <si>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</si>
  <si>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</si>
  <si>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</si>
  <si>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</si>
  <si>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</si>
  <si>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</si>
  <si>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</si>
  <si>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</si>
  <si>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</si>
  <si>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</si>
  <si>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</si>
  <si>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</si>
  <si>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</si>
  <si>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</si>
  <si>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</si>
  <si>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</si>
  <si>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</si>
  <si>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</si>
  <si>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</si>
  <si>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</si>
  <si>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</si>
  <si>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</si>
  <si>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</si>
  <si>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</si>
  <si>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</si>
  <si>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</si>
  <si>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</si>
  <si>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</si>
  <si>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</si>
  <si>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</si>
  <si>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</si>
  <si>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</si>
  <si>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</si>
  <si>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</si>
  <si>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</si>
  <si>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</si>
  <si>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</si>
  <si>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</si>
  <si>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</si>
  <si>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</si>
  <si>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</si>
  <si>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</si>
  <si>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</si>
  <si>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</si>
  <si>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</si>
  <si>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</si>
  <si>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</si>
  <si>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</si>
  <si>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</si>
  <si>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</si>
  <si>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</si>
  <si>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</si>
  <si>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</si>
  <si>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</si>
  <si>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</si>
  <si>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</si>
  <si>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</si>
  <si>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</si>
  <si>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</si>
  <si>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</si>
  <si>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</si>
  <si>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</si>
  <si>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</si>
  <si>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</si>
  <si>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</si>
  <si>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</si>
  <si>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</si>
  <si>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</si>
  <si>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</si>
  <si>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</si>
  <si>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</si>
  <si>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</si>
  <si>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</si>
  <si>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</si>
  <si>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</si>
  <si>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</si>
  <si>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</si>
  <si>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</si>
  <si>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</si>
  <si>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</si>
  <si>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</si>
  <si>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</si>
  <si>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</si>
  <si>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</si>
  <si>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</si>
  <si>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</si>
  <si>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</si>
  <si>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</si>
  <si>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</si>
  <si>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</si>
  <si>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</si>
  <si>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</si>
  <si>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</si>
  <si>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</si>
  <si>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</si>
  <si>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</si>
  <si>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</si>
  <si>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</si>
  <si>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</si>
  <si>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</si>
  <si>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</si>
  <si>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</si>
  <si>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</si>
  <si>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</si>
  <si>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</si>
  <si>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</si>
  <si>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</si>
  <si>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</si>
  <si>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</si>
  <si>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</si>
  <si>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</si>
  <si>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</si>
  <si>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</si>
  <si>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</si>
  <si>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</si>
  <si>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</si>
  <si>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</si>
  <si>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</si>
  <si>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</si>
  <si>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</si>
  <si>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</si>
  <si>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</si>
  <si>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</si>
  <si>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</si>
  <si>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</si>
  <si>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</si>
  <si>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</si>
  <si>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</si>
  <si>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</si>
  <si>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</si>
  <si>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</si>
  <si>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</si>
  <si>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</si>
  <si>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</si>
  <si>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</si>
  <si>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</si>
  <si>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</si>
  <si>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</si>
  <si>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</si>
  <si>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</si>
  <si>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</si>
  <si>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</si>
  <si>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</si>
  <si>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</si>
  <si>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</si>
  <si>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</si>
  <si>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</si>
  <si>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</si>
  <si>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</si>
  <si>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</si>
  <si>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</si>
  <si>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</si>
  <si>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</si>
  <si>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</si>
  <si>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</si>
  <si>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</si>
  <si>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</si>
  <si>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</si>
  <si>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</si>
  <si>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</si>
  <si>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</si>
  <si>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</si>
  <si>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</si>
  <si>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</si>
  <si>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</si>
  <si>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</si>
  <si>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</si>
  <si>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</si>
  <si>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</si>
  <si>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</si>
  <si>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</si>
  <si>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</si>
  <si>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</si>
  <si>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</si>
  <si>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</si>
  <si>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</si>
  <si>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</si>
  <si>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</si>
  <si>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</si>
  <si>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</si>
  <si>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</si>
  <si>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</si>
  <si>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</si>
  <si>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</si>
  <si>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</si>
  <si>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</si>
  <si>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</si>
  <si>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</si>
  <si>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</si>
  <si>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</si>
  <si>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</si>
  <si>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</si>
  <si>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</si>
  <si>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</si>
  <si>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</si>
  <si>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</si>
  <si>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</si>
  <si>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</si>
  <si>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</si>
  <si>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</si>
  <si>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</si>
  <si>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</si>
  <si>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</si>
  <si>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</si>
  <si>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</si>
  <si>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</si>
  <si>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</si>
  <si>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</si>
  <si>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</si>
  <si>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</si>
  <si>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</si>
  <si>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</si>
  <si>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</si>
  <si>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</si>
  <si>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</si>
  <si>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</si>
  <si>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</si>
  <si>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</si>
  <si>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</si>
  <si>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</si>
  <si>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</si>
  <si>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</si>
  <si>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</si>
  <si>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</si>
  <si>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</si>
  <si>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</si>
  <si>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</si>
  <si>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</si>
  <si>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</si>
  <si>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</si>
  <si>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</si>
  <si>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</si>
  <si>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</si>
  <si>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</si>
  <si>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</si>
  <si>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</si>
  <si>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</si>
  <si>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</si>
  <si>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</si>
  <si>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</si>
  <si>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</si>
  <si>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</si>
  <si>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</si>
  <si>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</si>
  <si>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</si>
  <si>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</si>
  <si>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</si>
  <si>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</si>
  <si>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</si>
  <si>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</si>
  <si>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</si>
  <si>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</si>
  <si>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</si>
  <si>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</si>
  <si>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</si>
  <si>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</si>
  <si>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</si>
  <si>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</si>
  <si>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</si>
  <si>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</si>
  <si>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</si>
  <si>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</si>
  <si>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</si>
  <si>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</si>
  <si>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</si>
  <si>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</si>
  <si>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</si>
  <si>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</si>
  <si>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</si>
  <si>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</si>
  <si>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</si>
  <si>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Adicion y prorroga al contrato 261-2026 cuyo objeto es: "Prestar servicios de apoyo técnico en las herramientas tecnologicas para el desarrollo de las estrategias de la Subdirección  Logística-SBLG"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</si>
  <si>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</si>
  <si>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</si>
  <si>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</si>
  <si>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</si>
  <si>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</si>
  <si>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</si>
  <si>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</si>
  <si>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</si>
  <si>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</si>
  <si>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</si>
  <si>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</si>
  <si>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</si>
  <si>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</si>
  <si>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</si>
  <si>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</si>
  <si>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</si>
  <si>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</si>
  <si>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</si>
  <si>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</si>
  <si>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</si>
  <si>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</si>
  <si>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Diana Marcela Zarabanda Suarez</t>
  </si>
  <si>
    <t>Reconocimientos de gastos de alimentación y hospedaje por desplazamientos de contratistas</t>
  </si>
  <si>
    <t>O232020200663111 Servicios de alojamiento en hoteles</t>
  </si>
  <si>
    <t>O2320201003023269005 Tiquetes para transporte aéreo</t>
  </si>
  <si>
    <t>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t>
  </si>
  <si>
    <t>Reconocimiento de gastos de alimentación y hospedaje por desplazamientos de contratistas de Direccción - Prensa</t>
  </si>
  <si>
    <t>Prestación de servicios profesionales en la Dirección para el acompañamiento en las labores de gestión administrativa, en asuntos propios de comunicaciones y prensa de la UAECOB</t>
  </si>
  <si>
    <t>Adición y prorroga al contrato 071-2026 cuyo objeto es: "Prestar servicios de apoyo técnico en asuntos administrativos, financieros, documentales y emisión de informes para el desarrollo de las estrategías de la Subdireccion Logística-SBLG"</t>
  </si>
  <si>
    <t>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t>
  </si>
  <si>
    <t>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t>
  </si>
  <si>
    <t>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t>
  </si>
  <si>
    <t>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</si>
  <si>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Adición y prórroga al Contrato 181 de 2026 "Prestación de servicios profesionales para gestionar las actividades de articulación interinstitucional, protocolo y demás que le sean indicados en la Dirección General en concordancia al marco de sus funciones"</t>
  </si>
  <si>
    <t>53102710;
53101900;
53101800</t>
  </si>
  <si>
    <t>Prestar servicios profesionales para realizar acompañamiento juridico adelantados por la Subdirección Gestión Corporativa -SGC</t>
  </si>
  <si>
    <t>Prestación de servicios de apoyo a la gestión para los procesos financieros y contables de la Subdirección de Gestión Corporativa de la Unidad.-SGC</t>
  </si>
  <si>
    <t>Prestación de servicios de apoyo a la gestión en la Subdirección de Gestión Corporativa, en las actividades asociadas a los procesos y procedimientos del almacén de la Entidad.- SGC</t>
  </si>
  <si>
    <t xml:space="preserve">  Prestar servicios profesionales para el desarrollo de los contenidos graficos, piezas comunicativa y de imagen institucional para la Subdirección de Gestión del riesgo._SGR</t>
  </si>
  <si>
    <t>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</si>
  <si>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</si>
  <si>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t>
  </si>
  <si>
    <t>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t>
  </si>
  <si>
    <t>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t>
  </si>
  <si>
    <t>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</si>
  <si>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</si>
  <si>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</si>
  <si>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en asuntos de comunicaciones y prensa orientadas a contribuir en las necesidades de la Entidad y facilitar la inserción de nuevas estrategias de comunicación</t>
  </si>
  <si>
    <t>Prestar servicios profesionales jurídicos en la Dirección General de la UAECOB, para apoyar la gestión, revisión y seguimiento de temas de la dirección, contratación y estratégicos de la misionalidad de la Entidad</t>
  </si>
  <si>
    <t>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</si>
  <si>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</si>
  <si>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t>
  </si>
  <si>
    <t>SGH - Prestar servicios profesionales jurídicos en la Subdirección de Gestión Humana, apoyando las gestiones legales y administrativas relacionadas con los procesos de nómina y recobro de incapacidades.</t>
  </si>
  <si>
    <t>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</si>
  <si>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</si>
  <si>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</si>
  <si>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t>
  </si>
  <si>
    <t>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</si>
  <si>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</si>
  <si>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t>
  </si>
  <si>
    <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</si>
  <si>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t>
  </si>
  <si>
    <t>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t>
  </si>
  <si>
    <t>Adición y prórroga del Contrato 245-2026 cuyo objeto es: Prestar servicios profesionales jurídicos para apoyar la instrucción y demás actuaciones que deban surtirse en los procesos disciplinarios adelantados por la Oficina de Control Disciplinario Interno.</t>
  </si>
  <si>
    <t xml:space="preserve">Adición y prórroga del Contrato 200-2026 cuyo objeto es: Prestar servicios profesionales jurídicos para apoyar la instrucción y demás actuaciones que deban surtirse en los procesos disciplinarios adelantados por la Oficina de Control Disciplinario Interno. </t>
  </si>
  <si>
    <t>Adición y prórroga del Contrato 145-2026 cuyo objeto es: Prestar servicios profesionales jurídicos para apoyar la instrucción y demás actuaciones que deban surtirse en los procesos disciplinarios adelantados por la Oficina de Control Disciplinario Interno.</t>
  </si>
  <si>
    <t>Adición y prórroga del Contrato 199-2026 cuyo objeto es: Prestar servicios profesionales jurídicos para apoyar la instrucción y demás actuaciones que deban surtirse en los procesos disciplinarios adelantados por la Oficina de Control Disciplinario Interno.</t>
  </si>
  <si>
    <t>Adición y prórroga del Contrato 558-2026 cuyo objeto es: Prestar servicios profesionales jurídicos para apoyar la instrucción y demás actuaciones que deban surtirse en los procesos disciplinarios adelantados por la Oficina de Control Disciplinario Interno.</t>
  </si>
  <si>
    <t>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t>
  </si>
  <si>
    <t>Adición y prórroga del Contrato 203-2026 cuyo objeto es: Prestación de servicios de apoyo técnico a la Oficina de Control Disciplinario Interno de la UAECOB para la gestión y cumplimiento de las funciones administrativas asignadas.</t>
  </si>
  <si>
    <t xml:space="preserve">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t>
  </si>
  <si>
    <t>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t>
  </si>
  <si>
    <t>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t>
  </si>
  <si>
    <t>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t>
  </si>
  <si>
    <t>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</si>
  <si>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t>
  </si>
  <si>
    <t>prestación de servicios profesionales para ejecutar el componente de información geográfica, georreferenciación y generación de alertas mediante las herramientas, sistemas de información y recursos disponibles y a cargo de la Subdirección Operativa-S.O.</t>
  </si>
  <si>
    <t>Prestación de servicios profesionales jurídicos para realizar el seguimiento y control de las actividades relacionadas con procesos contractuales, para el acompañamiento de los programas y metas de la Subdirección Operativa-S.O.</t>
  </si>
  <si>
    <t>Prestación de servicios profesionales para gestionar actividades de articulación con las alcaldías locales del distrito para la optimización de procesos operativos, para el desarrollo de los programas de la Subdirección Operativa-S.O.</t>
  </si>
  <si>
    <t>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t>
  </si>
  <si>
    <t>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t>
  </si>
  <si>
    <t>Prestación de servicios profesionales para apoyar jurídicamente los proyectos, procesos y procedimientos, para el desarrollo de los programas de la Subdirección Operativa-S.O</t>
  </si>
  <si>
    <t>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</si>
  <si>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li</t>
  </si>
  <si>
    <t>N/A-N/A</t>
  </si>
  <si>
    <t>N/A_N/A</t>
  </si>
  <si>
    <t>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t>
  </si>
  <si>
    <t>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t>
  </si>
  <si>
    <t>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t>
  </si>
  <si>
    <t>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t>
  </si>
  <si>
    <t>8173</t>
  </si>
  <si>
    <t>7-</t>
  </si>
  <si>
    <t xml:space="preserve">14-Infraestructura física misional construida mantenida y dotada </t>
  </si>
  <si>
    <t>014_Estaciones de bomberos adecuadas</t>
  </si>
  <si>
    <t>Adicion  y proroga cto  107-2026 Prestar servicios apoyo técnico para el desarrollo de los contenidos graficos, piezas comunicativa y de imagen institucional para la Subdirección de Gestión del riesgo._SGR</t>
  </si>
  <si>
    <t>Adicion y prorroga cto  265-2026 Prestar servicios profesionales en las actividades de Programas y Campañas de Prevención para la Subdirección de Gestión del Riesgo._SGR</t>
  </si>
  <si>
    <t>1-</t>
  </si>
  <si>
    <t>(Todas)</t>
  </si>
  <si>
    <t>Prestar servicios profesionales para la ejecución de actividades administrativas y documentales relacionadas con el procedimiento de equipo menor, en el marco de las estrategias y actividades de la Subdirección Logística – SBLG.</t>
  </si>
  <si>
    <t>Adición y prorroga al Contrato 732-2025 cuyo objeto “Prestar el servicio de instalación, alineación, balanceo y conexos, incluyendo el suministro de llantas a los vehículos del parque automotor de la U.A.E. Cuerpo Oficial de Bomberos de Bogotá - SBLG.”</t>
  </si>
  <si>
    <t>Adición y prórroga del contrato No. 067 de 2026 cuyo objeto es "Prestar los servicios profesionales como contador público en la Oficina de Control Interno para el desarrollo del Plan Anual de Auditorías".</t>
  </si>
  <si>
    <t>Adición y prórroga del contrato No. 068 de 2026 cuyo objeto es "Prestar los servicios profesionales como abogado en la Oficina de Control Interno para el desarrollo del Plan Anual de Auditorías"</t>
  </si>
  <si>
    <t>Adición y prórroga del contrato No. 049 de 2026 cuyo objeto es "Prestar los servicios profesionales en la Oficina de Control Interno para el desarrollo del Plan Anual de Auditorías"</t>
  </si>
  <si>
    <t>Adición y prórroga del contrato No. 056 de 2026 cuyo objeto es "Prestar los servicios profesionales en la Oficina de Control Interno para el desarrollo del Plan Anual de Auditorías"</t>
  </si>
  <si>
    <t>Adición y prórroga del contrato No. 378 de 2026 cuyo objeto es "Prestar los servicios profesionales en la Oficina de Control Interno para el desarrollo del Plan Anual de Auditorías"</t>
  </si>
  <si>
    <t>Adición y prórroga del contrato No. 073 de 2026 cuyo objeto es "Prestar servicios de apoyo a la gestión como técnico en la Oficina de Control Interno para ejecutar procesos y procedimientos administrativos y asistenciales teniendo en cuenta el Plan Anual de Auditorías".</t>
  </si>
  <si>
    <t>Adición y prórroga del contrato No. 373 de 2026 cuyo objeto es "Prestar los servicios profesionales en la Oficina de Control Interno para el desarrollo del Plan Anual de Auditorías"</t>
  </si>
  <si>
    <t>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</si>
  <si>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Adición y prorroga Cto 590-26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</si>
  <si>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adición y prórroga al contrato de prestación de servicios #082-2026, cuyo objeto es: "prestación de servicios profesionales para el fortalecimiento de los procesos de comunicaciones y en articulación con otras dependencias de la entidad y de los procesos y programas a cargo de la subdirección operativa-s.o."</t>
  </si>
  <si>
    <t>adición y prórroga al contrato de prestación de servicios #100-2026, cuyo objeto es: "prestar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</si>
  <si>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adición y prórroga al contrato de prestación de servicios #168-2026, cuyo objeto es: "prestación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</si>
  <si>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adición y prórroga al contrato de prestación de servicios #226-2026, cuyo objeto es: "prestar servicios profesionales para apoyar el fortalecimiento, articulación, seguimiento y gestión de los proyectos de inversión, planes e indicadores de gestión, para el desarrollo de los programas de la subdirección operativa-s.o."</t>
  </si>
  <si>
    <t>adición y prórroga al contrato de prestación de servicios #264-2026, cuyo objeto es: "prestación de servicios profesionales para apoyar en el análisis de información, reportes, y seguimientos relacionados con la atención de emergencias de la entidad y de los programas a cargo de la subdirección operativa-s.o."</t>
  </si>
  <si>
    <t>Adquisición de Motosierras para la atención de incidentes forestales  de la UAE Cuerpo Oficial de Bomberos de Bogotá - S.O.</t>
  </si>
  <si>
    <t>Adición No.1 y prorroga No.1 al contrato 396-2026 cuyo objeto es  "Arrendamiento de instalaciones estación Ferias-SGC</t>
  </si>
  <si>
    <t>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</si>
  <si>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"realizar la adecuación y mejoramiento de las instalaciones de las estaciones de Bomberos de la UAE Cuerpo oficial de Bomberos Bogotá"-SGC</t>
  </si>
  <si>
    <t>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t>
  </si>
  <si>
    <t>Prestar servicios profesionales para apoyar la ejecución de actividades orientadas a la implementación de las políticas establecidas en el marco del Modelo Integrado de Planeación y Gestión - MIPG, liderado por la Oficina Asesora de Planeación.</t>
  </si>
  <si>
    <t>Prestar servicios profesionales para apoyar jurídicamente la gestión contractual y administrativa de la Oficina Asesora de Planeación, de conformidad con los lineamientos internos y en el marco del Modelo Integrado de Planeación y Gestión - MIPG.</t>
  </si>
  <si>
    <t>Prestar los servicios profesionales en apoyo a la estructuración e implementación de las herramientas misionales, desarrolladas como soporte a los procesos y procedimientos de la U.A.E. Cuerpo Oficial de Bomberos de Bogotá.</t>
  </si>
  <si>
    <t>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</si>
  <si>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Contratar el servicio de mantenimiento para el sistema de atención de turnos de la U.A.E. Cuerpo Oficial de Bomberos de Bogotá - TIC</t>
  </si>
  <si>
    <t>32121000; 43232300; 81111700; 81112200; 43211500</t>
  </si>
  <si>
    <t>Adiciòn y pròrroga al contrato 388 de 2026 cuyo objeto es: "Prestar los servicios de apoyo para las gestiones documentales y administrativas requerida por la Oficina  Jurídica".</t>
  </si>
  <si>
    <t>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t>
  </si>
  <si>
    <t>Prestar servicios de apoyo a la gestión para el seguimiento técnico y administrativo de las actividades de mantenimiento de los vehículos de la U.A.E. Cuerpo Oficial de Bomberos de Bogotá -  SBLG</t>
  </si>
  <si>
    <t>(Varios elementos)</t>
  </si>
  <si>
    <t xml:space="preserve">   N/AN/A</t>
  </si>
  <si>
    <t>O23011745032024025508031_</t>
  </si>
  <si>
    <t>O23011745032024025514014</t>
  </si>
  <si>
    <t>O23011745032024025514015</t>
  </si>
  <si>
    <t>O23011745032024025516018</t>
  </si>
  <si>
    <t>Prestar servicios profesionales para apoyar las labores de Secretaría Común y las actividades administrativas, documentales y de seguimiento relacionadas con las actuaciones disciplinarias adelantadas por la Oficina de Control Disciplinario Interno.</t>
  </si>
  <si>
    <t>Adición y prórroga al contrato 370 de 2026 cuyo objeto es: "Prestar los servicios profesionales para apoyar la depuración de la cartera de cobro coactivo, así como actividades propias de la defensa judicial de la Entidad y demas actiuaciones relacionadas que requiera la Oficina Jurídica"</t>
  </si>
  <si>
    <t>Adición y prórroga al contrato 413 de 2026 cuyo objeto es: "Prestar los servicios de apoyo para las gestiones documentales y administrativas requerida por la Oficina Jurídica".</t>
  </si>
  <si>
    <t>Adición y prórroga al contrato 340 de 2026 cuyo objeto es: "Prestar los servicios profesionales para realizar el acompañamiento administrativo y financiero en temas de liquidación y cierre de expedientes, como demás actuaciones administrativas requeridas de los procesos contractuales"</t>
  </si>
  <si>
    <t>Adición y prórroga al contrato 443 de 2026 cuyo objeto es: "Prestar servicios profesionales para realizar la gestión de tramites y actividades que se requieran en los diferentes procesos disciplinarios propios de la etapa de juzgamiento de la Oficina Jurídica en la UAECOB"</t>
  </si>
  <si>
    <t>Adición  Cto 603-2026 cuyo objeto es "SGH - Adquirir elementos de protección personal para prevenir la aparición de enfermedades ocupacionales en el oido, de los funcionarios de la UAE Cuerpo Oficial de Bomberos de Bogotá"</t>
  </si>
  <si>
    <t>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t>
  </si>
  <si>
    <t>Prestar servicios profesionales para apoyar el seguimiento, fortalecimiento y mejora funcional de las herramientas misionales que sirven de soporte a los procesos y procedimientos de la U.A.E. Cuerpo Oficial de Bomberos de Bogotá.</t>
  </si>
  <si>
    <t>Aduqisición de botas para el uso diario para el personal uniformado de la UAE Cuerpo Oficial de Bomberos de Bogotá.</t>
  </si>
  <si>
    <t>Adición y Prorroga del Contrato 115 de 2026, cuyo objeto es "Prestación de servicios profesionales para la gestión, seguimiento y control administrativo, técnico y operativo del proceso de mantenimiento del parque automotor a cargo de la Subdirección Logística - SBLG."</t>
  </si>
  <si>
    <t>Adición y Prorroga del Contrato 014 de 2026, cuyo objeto es "Prestación de servicios profesionales, para apoyar la estructuración y elaboración de los asuntos contractuales en sus diferentes etapas en la adquisicion de bienes y servicios para el desarrollo de las estrategías de la Subdirección Logística.- SBLG"</t>
  </si>
  <si>
    <t>Adición y Prorroga del Contrato 055 de 2026, cuyo objeto es "Prestar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</si>
  <si>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Adición y Prorroga  del Contrato 102 de 2026,  cuyo objeto es "Prestar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</si>
  <si>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Prestación de servicios profesionales para apoyar la gestión administrativa, financiera y documental requerida en el desarrollo de los temas estratégicos y de planeación de los procesos y procedimientos a cargo de la Subdirección Logística – SBLG.</t>
  </si>
  <si>
    <t>Prestación de servicios profesionales para apoyar la gestión administrativa, documental y de trámites relacionados con el parque automotor a cargo de la Subdirección Logística – SBLG, requeridos para su adecuado funcionamiento, operación y gestión.</t>
  </si>
  <si>
    <t>Prestación de servicios profesionales para realizar la revisión, análisis y trámite jurídico de las diferentes actuaciones contractuales y procesales que se adelanten en las distintas etapas de los procesos de contratación de bienes y servicios, en el marco del desarrollo de las estrategias y necesidades de la Subdirección Logística – SBLG.</t>
  </si>
  <si>
    <t>Versión No. 24 - PLAN DISTRITAL DE DESARROLLO "BOGOTÁ CAMINA SEGURA"</t>
  </si>
  <si>
    <t>Fecha de elaboracion: 08/10/2026</t>
  </si>
  <si>
    <t xml:space="preserve">Adición y prórroga No. 1 al contrato 423 de 2026 con objeto" Prestación de servicios profesionales especializados para desarrollar las actividades técnicas y administrativas del Área de Infraestructura de la Subdirección de Gestión Corporativa-SGC. </t>
  </si>
  <si>
    <t>Prestar servicios profesionales para apoyar el desarrollo, la construcción, revisión y gestión de los documentos previos requerido en los procesos de selección adelantados por la UAECOB, garantizando la adecuada estructuración financiera, de mercado y económica, necesarios para la contratación para la adquisición de bienes, obras y servicios esenciales para el cumplimiento de sus funciones y misionalidad-SGC</t>
  </si>
  <si>
    <t>NANANAN/AN/A</t>
  </si>
  <si>
    <t>Prestar el servicio de  mantenimiento y recarga de extintores, cilindros y tanques de las maquinas extintoras de la UAECOB.  - SBLG</t>
  </si>
  <si>
    <t>46191506;46191601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</si>
</sst>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9">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rgb="FFFFFF00"/>
        <bgColor indexed="64"/>
      </patternFill>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8">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cellStyleXfs>
  <cellXfs count="259">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11" fillId="0" borderId="3" xfId="7" applyFont="1" applyFill="1" applyBorder="1" applyAlignment="1" applyProtection="1">
      <alignment horizontal="center" vertical="center" wrapText="1"/>
      <protection locked="0"/>
    </xf>
    <xf numFmtId="0" fontId="0" fillId="0" borderId="0" xfId="0" applyAlignment="1">
      <alignment horizontal="left"/>
    </xf>
    <xf numFmtId="0" fontId="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43" fontId="2" fillId="0" borderId="3" xfId="2" applyFont="1" applyFill="1" applyBorder="1" applyAlignment="1" applyProtection="1">
      <alignment horizontal="center" vertical="center" wrapText="1"/>
      <protection locked="0"/>
    </xf>
    <xf numFmtId="0" fontId="2" fillId="0" borderId="3" xfId="7" applyFont="1" applyFill="1" applyBorder="1" applyAlignment="1" applyProtection="1">
      <alignment horizontal="center" vertical="center" wrapText="1"/>
      <protection locked="0"/>
    </xf>
    <xf numFmtId="43" fontId="2" fillId="0" borderId="1" xfId="2"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2" fillId="0" borderId="3" xfId="5" applyFont="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wrapText="1"/>
      <protection locked="0"/>
    </xf>
    <xf numFmtId="0" fontId="11" fillId="0" borderId="6" xfId="5" applyFont="1" applyBorder="1" applyAlignment="1" applyProtection="1">
      <alignment horizontal="center" vertical="center" wrapText="1"/>
      <protection locked="0"/>
    </xf>
    <xf numFmtId="0" fontId="2" fillId="0" borderId="3" xfId="0" applyFont="1" applyBorder="1" applyAlignment="1">
      <alignment vertical="center" wrapText="1"/>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1" fillId="0" borderId="8" xfId="5" applyFont="1" applyBorder="1" applyAlignment="1" applyProtection="1">
      <alignment horizontal="center" vertical="center" wrapText="1"/>
      <protection locked="0"/>
    </xf>
    <xf numFmtId="0" fontId="11" fillId="0" borderId="3" xfId="0" applyFont="1" applyBorder="1" applyAlignment="1" applyProtection="1">
      <alignment vertical="center"/>
      <protection locked="0"/>
    </xf>
    <xf numFmtId="1" fontId="11" fillId="0" borderId="3" xfId="0" applyNumberFormat="1" applyFont="1" applyBorder="1" applyAlignment="1" applyProtection="1">
      <alignment horizontal="center" vertical="center" wrapText="1"/>
      <protection locked="0"/>
    </xf>
    <xf numFmtId="0" fontId="12" fillId="0" borderId="8" xfId="5" applyFont="1" applyBorder="1" applyAlignment="1" applyProtection="1">
      <alignment horizontal="center" vertical="center" wrapText="1"/>
      <protection locked="0"/>
    </xf>
    <xf numFmtId="43" fontId="11" fillId="0" borderId="3" xfId="0" applyNumberFormat="1" applyFont="1" applyBorder="1" applyAlignment="1" applyProtection="1">
      <alignment horizontal="center" vertical="center" wrapText="1"/>
      <protection locked="0"/>
    </xf>
    <xf numFmtId="0" fontId="11" fillId="6" borderId="3" xfId="2" applyNumberFormat="1" applyFont="1" applyFill="1" applyBorder="1" applyAlignment="1" applyProtection="1">
      <alignment horizontal="center" vertical="center" wrapText="1"/>
      <protection locked="0"/>
    </xf>
    <xf numFmtId="0" fontId="11" fillId="6" borderId="1" xfId="5" applyFont="1" applyFill="1" applyBorder="1" applyAlignment="1">
      <alignment horizontal="center" vertical="center" wrapText="1"/>
    </xf>
    <xf numFmtId="0" fontId="2" fillId="7" borderId="1" xfId="5" applyFont="1" applyFill="1" applyBorder="1" applyAlignment="1" applyProtection="1">
      <alignment horizontal="center" vertical="center" wrapText="1"/>
      <protection locked="0"/>
    </xf>
    <xf numFmtId="0" fontId="12" fillId="7" borderId="1" xfId="5" applyFont="1" applyFill="1" applyBorder="1" applyAlignment="1" applyProtection="1">
      <alignment horizontal="center" vertical="center" wrapText="1"/>
      <protection locked="0"/>
    </xf>
    <xf numFmtId="0" fontId="11" fillId="6" borderId="1" xfId="2" applyNumberFormat="1" applyFont="1" applyFill="1" applyBorder="1" applyAlignment="1" applyProtection="1">
      <alignment horizontal="center" vertical="center" wrapText="1"/>
      <protection locked="0"/>
    </xf>
    <xf numFmtId="0" fontId="11" fillId="6" borderId="1" xfId="5" applyFont="1" applyFill="1" applyBorder="1" applyAlignment="1" applyProtection="1">
      <alignment horizontal="center" vertical="center" wrapText="1"/>
      <protection locked="0"/>
    </xf>
    <xf numFmtId="164" fontId="11" fillId="6" borderId="1" xfId="2" applyNumberFormat="1" applyFont="1" applyFill="1" applyBorder="1" applyAlignment="1" applyProtection="1">
      <alignment horizontal="center" vertical="center" wrapText="1"/>
      <protection locked="0"/>
    </xf>
    <xf numFmtId="0" fontId="2" fillId="6" borderId="1" xfId="2" applyNumberFormat="1" applyFont="1" applyFill="1" applyBorder="1" applyAlignment="1" applyProtection="1">
      <alignment horizontal="center" vertical="center" wrapText="1"/>
      <protection locked="0"/>
    </xf>
    <xf numFmtId="43" fontId="11" fillId="6" borderId="1" xfId="2" applyFont="1" applyFill="1" applyBorder="1" applyAlignment="1" applyProtection="1">
      <alignment horizontal="center" vertical="center" wrapText="1"/>
      <protection locked="0"/>
    </xf>
    <xf numFmtId="1" fontId="2" fillId="6" borderId="1" xfId="2" applyNumberFormat="1" applyFont="1" applyFill="1" applyBorder="1" applyAlignment="1" applyProtection="1">
      <alignment horizontal="center" vertical="center" wrapText="1"/>
      <protection locked="0"/>
    </xf>
    <xf numFmtId="164" fontId="2" fillId="6" borderId="1" xfId="2" applyNumberFormat="1" applyFont="1" applyFill="1" applyBorder="1" applyAlignment="1" applyProtection="1">
      <alignment horizontal="center" vertical="center" wrapText="1"/>
      <protection locked="0"/>
    </xf>
    <xf numFmtId="166" fontId="2" fillId="6" borderId="1" xfId="2"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2" fillId="6" borderId="1" xfId="5" applyFont="1" applyFill="1" applyBorder="1" applyAlignment="1" applyProtection="1">
      <alignment horizontal="center" vertical="center" wrapText="1"/>
      <protection locked="0"/>
    </xf>
    <xf numFmtId="1" fontId="2" fillId="6" borderId="1" xfId="4" applyNumberFormat="1" applyFont="1" applyFill="1" applyBorder="1" applyAlignment="1" applyProtection="1">
      <alignment horizontal="center" vertical="center" wrapText="1"/>
      <protection locked="0"/>
    </xf>
    <xf numFmtId="0" fontId="2" fillId="6" borderId="1" xfId="5" applyFont="1" applyFill="1" applyBorder="1" applyAlignment="1">
      <alignment horizontal="center" vertical="center" wrapText="1"/>
    </xf>
    <xf numFmtId="0" fontId="11" fillId="6" borderId="1" xfId="0" applyFont="1" applyFill="1" applyBorder="1" applyAlignment="1" applyProtection="1">
      <alignment horizontal="center" vertical="center" wrapText="1"/>
      <protection locked="0"/>
    </xf>
    <xf numFmtId="1" fontId="2" fillId="6" borderId="1" xfId="0" applyNumberFormat="1" applyFont="1" applyFill="1" applyBorder="1" applyAlignment="1" applyProtection="1">
      <alignment horizontal="center" vertical="center" wrapText="1"/>
      <protection locked="0"/>
    </xf>
    <xf numFmtId="0" fontId="11" fillId="6" borderId="1" xfId="7" applyFont="1" applyFill="1" applyBorder="1" applyAlignment="1" applyProtection="1">
      <alignment horizontal="center" vertical="center" wrapText="1"/>
      <protection locked="0"/>
    </xf>
    <xf numFmtId="0" fontId="2" fillId="6" borderId="1" xfId="0" applyFont="1" applyFill="1" applyBorder="1" applyAlignment="1">
      <alignment vertical="center" wrapText="1"/>
    </xf>
    <xf numFmtId="1" fontId="11" fillId="6" borderId="1" xfId="0"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 fontId="11" fillId="6" borderId="1" xfId="4" applyNumberFormat="1" applyFont="1" applyFill="1" applyBorder="1" applyAlignment="1" applyProtection="1">
      <alignment horizontal="center" vertical="center" wrapText="1"/>
      <protection locked="0"/>
    </xf>
    <xf numFmtId="0" fontId="12" fillId="8" borderId="1" xfId="5" applyFont="1" applyFill="1" applyBorder="1" applyAlignment="1" applyProtection="1">
      <alignment horizontal="center" vertical="center" wrapText="1"/>
      <protection locked="0"/>
    </xf>
    <xf numFmtId="0" fontId="11" fillId="6" borderId="1" xfId="0" applyFont="1" applyFill="1" applyBorder="1" applyAlignment="1">
      <alignment vertical="center" wrapText="1"/>
    </xf>
    <xf numFmtId="1" fontId="11" fillId="6" borderId="1" xfId="2" applyNumberFormat="1" applyFont="1" applyFill="1" applyBorder="1" applyAlignment="1" applyProtection="1">
      <alignment horizontal="center" vertical="center" wrapText="1"/>
      <protection locked="0"/>
    </xf>
    <xf numFmtId="1" fontId="11" fillId="6" borderId="1" xfId="1" applyNumberFormat="1" applyFont="1" applyFill="1" applyBorder="1" applyAlignment="1" applyProtection="1">
      <alignment horizontal="center" vertical="center" wrapText="1"/>
      <protection locked="0"/>
    </xf>
    <xf numFmtId="43" fontId="0" fillId="2" borderId="0" xfId="2" applyFont="1" applyFill="1" applyAlignment="1" applyProtection="1">
      <alignment horizontal="center" vertical="center" wrapText="1"/>
      <protection locked="0"/>
    </xf>
    <xf numFmtId="164" fontId="17" fillId="0" borderId="0" xfId="2" applyNumberFormat="1" applyFont="1" applyAlignment="1" applyProtection="1">
      <alignment horizontal="center" vertical="center" wrapText="1"/>
      <protection locked="0"/>
    </xf>
    <xf numFmtId="0" fontId="11" fillId="0" borderId="9" xfId="2" quotePrefix="1" applyNumberFormat="1" applyFont="1" applyFill="1" applyBorder="1" applyAlignment="1" applyProtection="1">
      <alignment horizontal="center" vertical="center" wrapText="1"/>
      <protection locked="0"/>
    </xf>
    <xf numFmtId="164" fontId="2" fillId="6" borderId="7" xfId="2"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 fillId="8" borderId="1" xfId="5" applyFont="1" applyFill="1" applyBorder="1" applyAlignment="1" applyProtection="1">
      <alignment horizontal="center" vertical="center" wrapText="1"/>
      <protection locked="0"/>
    </xf>
    <xf numFmtId="0" fontId="12" fillId="6" borderId="1" xfId="5" applyFont="1" applyFill="1" applyBorder="1" applyAlignment="1" applyProtection="1">
      <alignment horizontal="center" vertical="center" wrapText="1"/>
      <protection locked="0"/>
    </xf>
    <xf numFmtId="0" fontId="11" fillId="6" borderId="1" xfId="0" applyFont="1" applyFill="1" applyBorder="1" applyAlignment="1" applyProtection="1">
      <alignment vertical="center" wrapText="1"/>
      <protection locked="0"/>
    </xf>
    <xf numFmtId="0" fontId="11" fillId="0" borderId="3" xfId="0" applyFont="1" applyBorder="1" applyAlignment="1">
      <alignment vertical="center" wrapText="1"/>
    </xf>
    <xf numFmtId="0" fontId="11" fillId="0" borderId="1" xfId="0" applyFont="1" applyBorder="1" applyAlignment="1" applyProtection="1">
      <alignment vertical="center"/>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5" fillId="0" borderId="1" xfId="0" applyFont="1" applyBorder="1" applyAlignment="1">
      <alignment horizontal="center"/>
    </xf>
    <xf numFmtId="0" fontId="0" fillId="0" borderId="1" xfId="0" applyBorder="1" applyAlignment="1">
      <alignment horizontal="left"/>
    </xf>
    <xf numFmtId="43" fontId="5" fillId="0" borderId="1" xfId="2" applyFont="1" applyBorder="1" applyAlignment="1">
      <alignment horizontal="center"/>
    </xf>
    <xf numFmtId="43" fontId="6" fillId="0" borderId="0" xfId="2" applyFont="1" applyAlignment="1">
      <alignment horizontal="center"/>
    </xf>
    <xf numFmtId="0" fontId="0" fillId="0" borderId="1" xfId="0"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11" fillId="0" borderId="1" xfId="5"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5" applyFont="1" applyFill="1" applyBorder="1" applyAlignment="1" applyProtection="1">
      <alignment horizontal="center" vertical="center" wrapText="1"/>
      <protection locked="0"/>
    </xf>
    <xf numFmtId="0" fontId="2" fillId="0" borderId="1" xfId="5" applyFont="1" applyFill="1" applyBorder="1" applyAlignment="1">
      <alignment horizontal="center" vertical="center" wrapText="1"/>
    </xf>
    <xf numFmtId="0" fontId="12" fillId="0" borderId="1" xfId="5"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wrapText="1"/>
      <protection locked="0"/>
    </xf>
  </cellXfs>
  <cellStyles count="8">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s>
  <dxfs count="92">
    <dxf>
      <fill>
        <patternFill patternType="solid">
          <fgColor rgb="FFF8CBAD"/>
          <bgColor rgb="FF000000"/>
        </patternFill>
      </fill>
    </dxf>
    <dxf>
      <fill>
        <patternFill patternType="solid">
          <fgColor rgb="FFF8CBAD"/>
          <bgColor rgb="FF000000"/>
        </patternFill>
      </fil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8CBAD"/>
          <bgColor rgb="FF000000"/>
        </patternFill>
      </fill>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99"/>
      <color rgb="FF66FF66"/>
      <color rgb="FFCCFF99"/>
      <color rgb="FF99CCFF"/>
      <color rgb="FFFFCCFF"/>
      <color rgb="FFC3B6E2"/>
      <color rgb="FF66FFCC"/>
      <color rgb="FFFF8181"/>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proyecto%20PAA%20Vr%2023%20UAECOB%202026%20-%20BCS%20-%20trabajo%203%20ap%20-%20copia.xlsx?51466D4D" TargetMode="External"/><Relationship Id="rId2" Type="http://schemas.openxmlformats.org/officeDocument/2006/relationships/externalLinkPath" Target="file:///\\51466D4D\proyecto%20PAA%20Vr%2023%20UAECOB%202026%20-%20BCS%20-%20trabajo%203%20ap%20-%20copia.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81.518478819446" createdVersion="8" refreshedVersion="8" minRefreshableVersion="3" recordCount="993" xr:uid="{96D03088-D83A-4040-A04C-BB228334B570}">
  <cacheSource type="worksheet">
    <worksheetSource name="PAA" r:id="rId2"/>
  </cacheSource>
  <cacheFields count="34">
    <cacheField name="Id Interno" numFmtId="0">
      <sharedItems containsSemiMixedTypes="0" containsString="0" containsNumber="1" containsInteger="1" minValue="20260001" maxValue="20261065" count="993">
        <n v="20260001"/>
        <n v="20260002"/>
        <n v="20260003"/>
        <n v="20260004"/>
        <n v="20260005"/>
        <n v="20260006"/>
        <n v="20260007"/>
        <n v="20260008"/>
        <n v="20260009"/>
        <n v="20260010"/>
        <n v="20260011"/>
        <n v="20260012"/>
        <n v="20260013"/>
        <n v="20260014"/>
        <n v="20260015"/>
        <n v="20260016"/>
        <n v="20260017"/>
        <n v="20260018"/>
        <n v="20260019"/>
        <n v="20260020"/>
        <n v="20260021"/>
        <n v="20260022"/>
        <n v="20260023"/>
        <n v="20260024"/>
        <n v="20260025"/>
        <n v="20260026"/>
        <n v="20260027"/>
        <n v="20260028"/>
        <n v="20260029"/>
        <n v="20260030"/>
        <n v="20260031"/>
        <n v="20260032"/>
        <n v="20260033"/>
        <n v="20260036"/>
        <n v="20260037"/>
        <n v="20260038"/>
        <n v="20260039"/>
        <n v="20260044"/>
        <n v="20260048"/>
        <n v="20260052"/>
        <n v="20260053"/>
        <n v="20260054"/>
        <n v="20260055"/>
        <n v="20260056"/>
        <n v="20260057"/>
        <n v="20260058"/>
        <n v="20260059"/>
        <n v="20260060"/>
        <n v="20260061"/>
        <n v="20260062"/>
        <n v="20260063"/>
        <n v="20260064"/>
        <n v="20260065"/>
        <n v="20260066"/>
        <n v="20260067"/>
        <n v="20260068"/>
        <n v="20260069"/>
        <n v="20260070"/>
        <n v="20260071"/>
        <n v="20260072"/>
        <n v="20260073"/>
        <n v="20260074"/>
        <n v="20260075"/>
        <n v="20260076"/>
        <n v="20260077"/>
        <n v="20260078"/>
        <n v="20260079"/>
        <n v="20260080"/>
        <n v="20260081"/>
        <n v="20260082"/>
        <n v="20260083"/>
        <n v="20260084"/>
        <n v="20260085"/>
        <n v="20260086"/>
        <n v="20260087"/>
        <n v="20260088"/>
        <n v="20260089"/>
        <n v="20260090"/>
        <n v="20260091"/>
        <n v="20260092"/>
        <n v="20260093"/>
        <n v="20260094"/>
        <n v="20260095"/>
        <n v="20260096"/>
        <n v="20260097"/>
        <n v="20260098"/>
        <n v="20260099"/>
        <n v="20260102"/>
        <n v="20260103"/>
        <n v="20260105"/>
        <n v="20260106"/>
        <n v="20260107"/>
        <n v="20260108"/>
        <n v="20260109"/>
        <n v="20260110"/>
        <n v="20260111"/>
        <n v="20260112"/>
        <n v="20260113"/>
        <n v="20260114"/>
        <n v="20260115"/>
        <n v="20260116"/>
        <n v="20260117"/>
        <n v="20260118"/>
        <n v="20260119"/>
        <n v="20260120"/>
        <n v="20260121"/>
        <n v="20260122"/>
        <n v="20260123"/>
        <n v="20260124"/>
        <n v="20260125"/>
        <n v="20260126"/>
        <n v="20260127"/>
        <n v="20260128"/>
        <n v="20260129"/>
        <n v="20260130"/>
        <n v="20260131"/>
        <n v="20260132"/>
        <n v="20260133"/>
        <n v="20260134"/>
        <n v="20260135"/>
        <n v="20260136"/>
        <n v="20260137"/>
        <n v="20260138"/>
        <n v="20260139"/>
        <n v="20260140"/>
        <n v="20260141"/>
        <n v="20260142"/>
        <n v="20260143"/>
        <n v="20260144"/>
        <n v="20260145"/>
        <n v="20260146"/>
        <n v="20260147"/>
        <n v="20260148"/>
        <n v="20260149"/>
        <n v="20260150"/>
        <n v="20260151"/>
        <n v="20260152"/>
        <n v="20260153"/>
        <n v="20260154"/>
        <n v="20260155"/>
        <n v="20260156"/>
        <n v="20260157"/>
        <n v="20260158"/>
        <n v="20260159"/>
        <n v="20260160"/>
        <n v="20260161"/>
        <n v="20260162"/>
        <n v="20260163"/>
        <n v="20260164"/>
        <n v="20260165"/>
        <n v="20260166"/>
        <n v="20260167"/>
        <n v="20260168"/>
        <n v="20260169"/>
        <n v="20260170"/>
        <n v="20260171"/>
        <n v="20260172"/>
        <n v="20260173"/>
        <n v="20260174"/>
        <n v="20260175"/>
        <n v="20260176"/>
        <n v="20260177"/>
        <n v="20260178"/>
        <n v="20260179"/>
        <n v="20260180"/>
        <n v="20260181"/>
        <n v="20260182"/>
        <n v="20260183"/>
        <n v="20260184"/>
        <n v="20260186"/>
        <n v="20260187"/>
        <n v="20260189"/>
        <n v="20260191"/>
        <n v="20260192"/>
        <n v="20260193"/>
        <n v="20260194"/>
        <n v="20260195"/>
        <n v="20260196"/>
        <n v="20260197"/>
        <n v="20260198"/>
        <n v="20260199"/>
        <n v="20260200"/>
        <n v="20260201"/>
        <n v="20260202"/>
        <n v="20260203"/>
        <n v="20260204"/>
        <n v="20260205"/>
        <n v="20260206"/>
        <n v="20260207"/>
        <n v="20260208"/>
        <n v="20260209"/>
        <n v="20260210"/>
        <n v="20260211"/>
        <n v="20260212"/>
        <n v="20260213"/>
        <n v="20260214"/>
        <n v="20260215"/>
        <n v="20260216"/>
        <n v="20260217"/>
        <n v="20260218"/>
        <n v="20260219"/>
        <n v="20260220"/>
        <n v="20260221"/>
        <n v="20260222"/>
        <n v="20260223"/>
        <n v="20260224"/>
        <n v="20260225"/>
        <n v="20260226"/>
        <n v="20260227"/>
        <n v="20260228"/>
        <n v="20260229"/>
        <n v="20260230"/>
        <n v="20260231"/>
        <n v="20260232"/>
        <n v="20260233"/>
        <n v="20260234"/>
        <n v="20260235"/>
        <n v="20260236"/>
        <n v="20260237"/>
        <n v="20260238"/>
        <n v="20260239"/>
        <n v="20260240"/>
        <n v="20260241"/>
        <n v="20260242"/>
        <n v="20260243"/>
        <n v="20260244"/>
        <n v="20260245"/>
        <n v="20260246"/>
        <n v="20260247"/>
        <n v="20260248"/>
        <n v="20260249"/>
        <n v="20260250"/>
        <n v="20260251"/>
        <n v="20260252"/>
        <n v="20260253"/>
        <n v="20260254"/>
        <n v="20260255"/>
        <n v="20260256"/>
        <n v="20260257"/>
        <n v="20260258"/>
        <n v="20260259"/>
        <n v="20260260"/>
        <n v="20260261"/>
        <n v="20260262"/>
        <n v="20260263"/>
        <n v="20260264"/>
        <n v="20260265"/>
        <n v="20260266"/>
        <n v="20260267"/>
        <n v="20260268"/>
        <n v="20260269"/>
        <n v="20260270"/>
        <n v="20260271"/>
        <n v="20260272"/>
        <n v="20260273"/>
        <n v="20260274"/>
        <n v="20260275"/>
        <n v="20260276"/>
        <n v="20260277"/>
        <n v="20260278"/>
        <n v="20260279"/>
        <n v="20260280"/>
        <n v="20260281"/>
        <n v="20260282"/>
        <n v="20260283"/>
        <n v="20260284"/>
        <n v="20260285"/>
        <n v="20260286"/>
        <n v="20260287"/>
        <n v="20260288"/>
        <n v="20260289"/>
        <n v="20260290"/>
        <n v="20260291"/>
        <n v="20260292"/>
        <n v="20260293"/>
        <n v="20260294"/>
        <n v="20260295"/>
        <n v="20260296"/>
        <n v="20260297"/>
        <n v="20260298"/>
        <n v="20260299"/>
        <n v="20260300"/>
        <n v="20260301"/>
        <n v="20260302"/>
        <n v="20260303"/>
        <n v="20260304"/>
        <n v="20260305"/>
        <n v="20260306"/>
        <n v="20260307"/>
        <n v="20260308"/>
        <n v="20260309"/>
        <n v="20260310"/>
        <n v="20260311"/>
        <n v="20260312"/>
        <n v="20260313"/>
        <n v="20260314"/>
        <n v="20260315"/>
        <n v="20260316"/>
        <n v="20260317"/>
        <n v="20260318"/>
        <n v="20260320"/>
        <n v="20260321"/>
        <n v="20260322"/>
        <n v="20260323"/>
        <n v="20260324"/>
        <n v="20260325"/>
        <n v="20260326"/>
        <n v="20260327"/>
        <n v="20260328"/>
        <n v="20260329"/>
        <n v="20260330"/>
        <n v="20260331"/>
        <n v="20260332"/>
        <n v="20260333"/>
        <n v="20260334"/>
        <n v="20260335"/>
        <n v="20260336"/>
        <n v="20260337"/>
        <n v="20260338"/>
        <n v="20260340"/>
        <n v="20260341"/>
        <n v="20260342"/>
        <n v="20260343"/>
        <n v="20260344"/>
        <n v="20260345"/>
        <n v="20260346"/>
        <n v="20260347"/>
        <n v="20260348"/>
        <n v="20260349"/>
        <n v="20260350"/>
        <n v="20260351"/>
        <n v="20260352"/>
        <n v="20260353"/>
        <n v="20260354"/>
        <n v="20260355"/>
        <n v="20260356"/>
        <n v="20260357"/>
        <n v="20260358"/>
        <n v="20260359"/>
        <n v="20260360"/>
        <n v="20260361"/>
        <n v="20260362"/>
        <n v="20260363"/>
        <n v="20260365"/>
        <n v="20260366"/>
        <n v="20260367"/>
        <n v="20260368"/>
        <n v="20260369"/>
        <n v="20260370"/>
        <n v="20260371"/>
        <n v="20260372"/>
        <n v="20260373"/>
        <n v="20260374"/>
        <n v="20260375"/>
        <n v="20260376"/>
        <n v="20260377"/>
        <n v="20260378"/>
        <n v="20260379"/>
        <n v="20260380"/>
        <n v="20260381"/>
        <n v="20260382"/>
        <n v="20260383"/>
        <n v="20260384"/>
        <n v="20260385"/>
        <n v="20260386"/>
        <n v="20260387"/>
        <n v="20260388"/>
        <n v="20260390"/>
        <n v="20260392"/>
        <n v="20260393"/>
        <n v="20260394"/>
        <n v="20260395"/>
        <n v="20260396"/>
        <n v="20260397"/>
        <n v="20260398"/>
        <n v="20260399"/>
        <n v="20260400"/>
        <n v="20260401"/>
        <n v="20260402"/>
        <n v="20260403"/>
        <n v="20260404"/>
        <n v="20260405"/>
        <n v="20260406"/>
        <n v="20260407"/>
        <n v="20260408"/>
        <n v="20260409"/>
        <n v="20260410"/>
        <n v="20260411"/>
        <n v="20260412"/>
        <n v="20260414"/>
        <n v="20260415"/>
        <n v="20260416"/>
        <n v="20260417"/>
        <n v="20260418"/>
        <n v="20260419"/>
        <n v="20260420"/>
        <n v="20260422"/>
        <n v="20260423"/>
        <n v="20260424"/>
        <n v="20260425"/>
        <n v="20260426"/>
        <n v="20260427"/>
        <n v="20260428"/>
        <n v="20260429"/>
        <n v="20260430"/>
        <n v="20260431"/>
        <n v="20260432"/>
        <n v="20260433"/>
        <n v="20260434"/>
        <n v="20260435"/>
        <n v="20260436"/>
        <n v="20260437"/>
        <n v="20260438"/>
        <n v="20260439"/>
        <n v="20260440"/>
        <n v="20260441"/>
        <n v="20260442"/>
        <n v="20260443"/>
        <n v="20260444"/>
        <n v="20260445"/>
        <n v="20260446"/>
        <n v="20260447"/>
        <n v="20260448"/>
        <n v="20260449"/>
        <n v="20260450"/>
        <n v="20260451"/>
        <n v="20260452"/>
        <n v="20260453"/>
        <n v="20260454"/>
        <n v="20260455"/>
        <n v="20260456"/>
        <n v="20260457"/>
        <n v="20260458"/>
        <n v="20260459"/>
        <n v="20260460"/>
        <n v="20260461"/>
        <n v="20260462"/>
        <n v="20260463"/>
        <n v="20260464"/>
        <n v="20260465"/>
        <n v="20260466"/>
        <n v="20260467"/>
        <n v="20260468"/>
        <n v="20260469"/>
        <n v="20260470"/>
        <n v="20260471"/>
        <n v="20260472"/>
        <n v="20260473"/>
        <n v="20260474"/>
        <n v="20260475"/>
        <n v="20260476"/>
        <n v="20260477"/>
        <n v="20260478"/>
        <n v="20260479"/>
        <n v="20260480"/>
        <n v="20260481"/>
        <n v="20260482"/>
        <n v="20260483"/>
        <n v="20260484"/>
        <n v="20260485"/>
        <n v="20260486"/>
        <n v="20260487"/>
        <n v="20260488"/>
        <n v="20260489"/>
        <n v="20260490"/>
        <n v="20260491"/>
        <n v="20260492"/>
        <n v="20260493"/>
        <n v="20260494"/>
        <n v="20260495"/>
        <n v="20260496"/>
        <n v="20260497"/>
        <n v="20260498"/>
        <n v="20260499"/>
        <n v="20260500"/>
        <n v="20260501"/>
        <n v="20260502"/>
        <n v="20260503"/>
        <n v="20260505"/>
        <n v="20260506"/>
        <n v="20260508"/>
        <n v="20260510"/>
        <n v="20260518"/>
        <n v="20260519"/>
        <n v="20260520"/>
        <n v="20260521"/>
        <n v="20260522"/>
        <n v="20260523"/>
        <n v="20260524"/>
        <n v="20260525"/>
        <n v="20260527"/>
        <n v="20260528"/>
        <n v="20260529"/>
        <n v="20260530"/>
        <n v="20260531"/>
        <n v="20260532"/>
        <n v="20260533"/>
        <n v="20260534"/>
        <n v="20260535"/>
        <n v="20260537"/>
        <n v="20260538"/>
        <n v="20260539"/>
        <n v="20260540"/>
        <n v="20260541"/>
        <n v="20260542"/>
        <n v="20260543"/>
        <n v="20260544"/>
        <n v="20260545"/>
        <n v="20260546"/>
        <n v="20260547"/>
        <n v="20260548"/>
        <n v="20260549"/>
        <n v="20260550"/>
        <n v="20260551"/>
        <n v="20260552"/>
        <n v="20260553"/>
        <n v="20260554"/>
        <n v="20260555"/>
        <n v="20260557"/>
        <n v="20260558"/>
        <n v="20260559"/>
        <n v="20260560"/>
        <n v="20260561"/>
        <n v="20260562"/>
        <n v="20260563"/>
        <n v="20260564"/>
        <n v="20260565"/>
        <n v="20260566"/>
        <n v="20260567"/>
        <n v="20260570"/>
        <n v="20260571"/>
        <n v="20260572"/>
        <n v="20260573"/>
        <n v="20260574"/>
        <n v="20260575"/>
        <n v="20260576"/>
        <n v="20260577"/>
        <n v="20260578"/>
        <n v="20260579"/>
        <n v="20260580"/>
        <n v="20260581"/>
        <n v="20260582"/>
        <n v="20260583"/>
        <n v="20260584"/>
        <n v="20260585"/>
        <n v="20260586"/>
        <n v="20260587"/>
        <n v="20260588"/>
        <n v="20260589"/>
        <n v="20260590"/>
        <n v="20260592"/>
        <n v="20260594"/>
        <n v="20260596"/>
        <n v="20260597"/>
        <n v="20260598"/>
        <n v="20260599"/>
        <n v="20260600"/>
        <n v="20260601"/>
        <n v="20260602"/>
        <n v="20260603"/>
        <n v="20260604"/>
        <n v="20260605"/>
        <n v="20260606"/>
        <n v="20260607"/>
        <n v="20260608"/>
        <n v="20260609"/>
        <n v="20260610"/>
        <n v="20260611"/>
        <n v="20260612"/>
        <n v="20260613"/>
        <n v="20260614"/>
        <n v="20260615"/>
        <n v="20260616"/>
        <n v="20260617"/>
        <n v="20260618"/>
        <n v="20260619"/>
        <n v="20260620"/>
        <n v="20260621"/>
        <n v="20260622"/>
        <n v="20260623"/>
        <n v="20260624"/>
        <n v="20260625"/>
        <n v="20260626"/>
        <n v="20260627"/>
        <n v="20260628"/>
        <n v="20260629"/>
        <n v="20260630"/>
        <n v="20260631"/>
        <n v="20260632"/>
        <n v="20260633"/>
        <n v="20260634"/>
        <n v="20260635"/>
        <n v="20260636"/>
        <n v="20260637"/>
        <n v="20260638"/>
        <n v="20260639"/>
        <n v="20260640"/>
        <n v="20260641"/>
        <n v="20260642"/>
        <n v="20260643"/>
        <n v="20260644"/>
        <n v="20260645"/>
        <n v="20260646"/>
        <n v="20260647"/>
        <n v="20260648"/>
        <n v="20260649"/>
        <n v="20260650"/>
        <n v="20260651"/>
        <n v="20260652"/>
        <n v="20260653"/>
        <n v="20260654"/>
        <n v="20260655"/>
        <n v="20260656"/>
        <n v="20260657"/>
        <n v="20260658"/>
        <n v="20260659"/>
        <n v="20260660"/>
        <n v="20260661"/>
        <n v="20260663"/>
        <n v="20260664"/>
        <n v="20260665"/>
        <n v="20260666"/>
        <n v="20260667"/>
        <n v="20260668"/>
        <n v="20260669"/>
        <n v="20260670"/>
        <n v="20260671"/>
        <n v="20260672"/>
        <n v="20260673"/>
        <n v="20260674"/>
        <n v="20260675"/>
        <n v="20260677"/>
        <n v="20260678"/>
        <n v="20260679"/>
        <n v="20260680"/>
        <n v="20260681"/>
        <n v="20260684"/>
        <n v="20260685"/>
        <n v="20260686"/>
        <n v="20260687"/>
        <n v="20260688"/>
        <n v="20260689"/>
        <n v="20260690"/>
        <n v="20260691"/>
        <n v="20260693"/>
        <n v="20260694"/>
        <n v="20260695"/>
        <n v="20260696"/>
        <n v="20260697"/>
        <n v="20260698"/>
        <n v="20260699"/>
        <n v="20260700"/>
        <n v="20260701"/>
        <n v="20260703"/>
        <n v="20260704"/>
        <n v="20260705"/>
        <n v="20260706"/>
        <n v="20260707"/>
        <n v="20260709"/>
        <n v="20260711"/>
        <n v="20260712"/>
        <n v="20260714"/>
        <n v="20260715"/>
        <n v="20260716"/>
        <n v="20260717"/>
        <n v="20260718"/>
        <n v="20260719"/>
        <n v="20260720"/>
        <n v="20260721"/>
        <n v="20260722"/>
        <n v="20260723"/>
        <n v="20260724"/>
        <n v="20260725"/>
        <n v="20260726"/>
        <n v="20260727"/>
        <n v="20260728"/>
        <n v="20260729"/>
        <n v="20260730"/>
        <n v="20260731"/>
        <n v="20260732"/>
        <n v="20260733"/>
        <n v="20260734"/>
        <n v="20260735"/>
        <n v="20260736"/>
        <n v="20260737"/>
        <n v="20260738"/>
        <n v="20260739"/>
        <n v="20260740"/>
        <n v="20260741"/>
        <n v="20260742"/>
        <n v="20260743"/>
        <n v="20260744"/>
        <n v="20260745"/>
        <n v="20260746"/>
        <n v="20260747"/>
        <n v="20260748"/>
        <n v="20260749"/>
        <n v="20260750"/>
        <n v="20260751"/>
        <n v="20260752"/>
        <n v="20260753"/>
        <n v="20260754"/>
        <n v="20260755"/>
        <n v="20260756"/>
        <n v="20260757"/>
        <n v="20260758"/>
        <n v="20260759"/>
        <n v="20260760"/>
        <n v="20260761"/>
        <n v="20260762"/>
        <n v="20260763"/>
        <n v="20260764"/>
        <n v="20260765"/>
        <n v="20260766"/>
        <n v="20260767"/>
        <n v="20260768"/>
        <n v="20260770"/>
        <n v="20260771"/>
        <n v="20260772"/>
        <n v="20260773"/>
        <n v="20260774"/>
        <n v="20260778"/>
        <n v="20260782"/>
        <n v="20260783"/>
        <n v="20260785"/>
        <n v="20260787"/>
        <n v="20260789"/>
        <n v="20260790"/>
        <n v="20260791"/>
        <n v="20260792"/>
        <n v="20260793"/>
        <n v="20260794"/>
        <n v="20260795"/>
        <n v="20260796"/>
        <n v="20260797"/>
        <n v="20260798"/>
        <n v="20260799"/>
        <n v="20260800"/>
        <n v="20260801"/>
        <n v="20260802"/>
        <n v="20260803"/>
        <n v="20260804"/>
        <n v="20260805"/>
        <n v="20260806"/>
        <n v="20260807"/>
        <n v="20260808"/>
        <n v="20260809"/>
        <n v="20260810"/>
        <n v="20260811"/>
        <n v="20260812"/>
        <n v="20260813"/>
        <n v="20260814"/>
        <n v="20260815"/>
        <n v="20260816"/>
        <n v="20260817"/>
        <n v="20260818"/>
        <n v="20260819"/>
        <n v="20260820"/>
        <n v="20260821"/>
        <n v="20260822"/>
        <n v="20260823"/>
        <n v="20260824"/>
        <n v="20260825"/>
        <n v="20260826"/>
        <n v="20260827"/>
        <n v="20260828"/>
        <n v="20260829"/>
        <n v="20260830"/>
        <n v="20260831"/>
        <n v="20260832"/>
        <n v="20260833"/>
        <n v="20260834"/>
        <n v="20260835"/>
        <n v="20260836"/>
        <n v="20260837"/>
        <n v="20260838"/>
        <n v="20260839"/>
        <n v="20260840"/>
        <n v="20260841"/>
        <n v="20260842"/>
        <n v="20260843"/>
        <n v="20260844"/>
        <n v="20260845"/>
        <n v="20260846"/>
        <n v="20260847"/>
        <n v="20260848"/>
        <n v="20260849"/>
        <n v="20260850"/>
        <n v="20260851"/>
        <n v="20260852"/>
        <n v="20260853"/>
        <n v="20260854"/>
        <n v="20260855"/>
        <n v="20260856"/>
        <n v="20260857"/>
        <n v="20260858"/>
        <n v="20260859"/>
        <n v="20260860"/>
        <n v="20260861"/>
        <n v="20260862"/>
        <n v="20260863"/>
        <n v="20260864"/>
        <n v="20260865"/>
        <n v="20260866"/>
        <n v="20260867"/>
        <n v="20260868"/>
        <n v="20260869"/>
        <n v="20260873"/>
        <n v="20260874"/>
        <n v="20260875"/>
        <n v="20260876"/>
        <n v="20260877"/>
        <n v="20260878"/>
        <n v="20260879"/>
        <n v="20260880"/>
        <n v="20260881"/>
        <n v="20260883"/>
        <n v="20260884"/>
        <n v="20260885"/>
        <n v="20260886"/>
        <n v="20260887"/>
        <n v="20260888"/>
        <n v="20260889"/>
        <n v="20260890"/>
        <n v="20260891"/>
        <n v="20260892"/>
        <n v="20260893"/>
        <n v="20260894"/>
        <n v="20260895"/>
        <n v="20260896"/>
        <n v="20260897"/>
        <n v="20260898"/>
        <n v="20260899"/>
        <n v="20260900"/>
        <n v="20260901"/>
        <n v="20260902"/>
        <n v="20260903"/>
        <n v="20260904"/>
        <n v="20260905"/>
        <n v="20260906"/>
        <n v="20260907"/>
        <n v="20260908"/>
        <n v="20260909"/>
        <n v="20260910"/>
        <n v="20260911"/>
        <n v="20260912"/>
        <n v="20260913"/>
        <n v="20260914"/>
        <n v="20260915"/>
        <n v="20260917"/>
        <n v="20260918"/>
        <n v="20260919"/>
        <n v="20260920"/>
        <n v="20260921"/>
        <n v="20260922"/>
        <n v="20260923"/>
        <n v="20260924"/>
        <n v="20260925"/>
        <n v="20260929"/>
        <n v="20260930"/>
        <n v="20260931"/>
        <n v="20260932"/>
        <n v="20260933"/>
        <n v="20260934"/>
        <n v="20260935"/>
        <n v="20260936"/>
        <n v="20260937"/>
        <n v="20260938"/>
        <n v="20260939"/>
        <n v="20260940"/>
        <n v="20260941"/>
        <n v="20260942"/>
        <n v="20260943"/>
        <n v="20260944"/>
        <n v="20260945"/>
        <n v="20260946"/>
        <n v="20260947"/>
        <n v="20260948"/>
        <n v="20260949"/>
        <n v="20260950"/>
        <n v="20260951"/>
        <n v="20260952"/>
        <n v="20260953"/>
        <n v="20260954"/>
        <n v="20260955"/>
        <n v="20260956"/>
        <n v="20260957"/>
        <n v="20260958"/>
        <n v="20260959"/>
        <n v="20260960"/>
        <n v="20260961"/>
        <n v="20260962"/>
        <n v="20260963"/>
        <n v="20260964"/>
        <n v="20260965"/>
        <n v="20260966"/>
        <n v="20260967"/>
        <n v="20260968"/>
        <n v="20260969"/>
        <n v="20260970"/>
        <n v="20260971"/>
        <n v="20260972"/>
        <n v="20260973"/>
        <n v="20260974"/>
        <n v="20260975"/>
        <n v="20260976"/>
        <n v="20260977"/>
        <n v="20260978"/>
        <n v="20260980"/>
        <n v="20260981"/>
        <n v="20260982"/>
        <n v="20260983"/>
        <n v="20260984"/>
        <n v="20260985"/>
        <n v="20260986"/>
        <n v="20260987"/>
        <n v="20260988"/>
        <n v="20260989"/>
        <n v="20260990"/>
        <n v="20260991"/>
        <n v="20260992"/>
        <n v="20260993"/>
        <n v="20260995"/>
        <n v="20260996"/>
        <n v="20260997"/>
        <n v="20260998"/>
        <n v="20260999"/>
        <n v="20261000"/>
        <n v="20261001"/>
        <n v="20261002"/>
        <n v="20261003"/>
        <n v="20261004"/>
        <n v="20261005"/>
        <n v="20261006"/>
        <n v="20261007"/>
        <n v="20261008"/>
        <n v="20261009"/>
        <n v="20261010"/>
        <n v="20261011"/>
        <n v="20261012"/>
        <n v="20261013"/>
        <n v="20261014"/>
        <n v="20261015"/>
        <n v="20261016"/>
        <n v="20261017"/>
        <n v="20261018"/>
        <n v="20261019"/>
        <n v="20261020"/>
        <n v="20261021"/>
        <n v="20261022"/>
        <n v="20261023"/>
        <n v="20261024"/>
        <n v="20261025"/>
        <n v="20261026"/>
        <n v="20261027"/>
        <n v="20261028"/>
        <n v="20261029"/>
        <n v="20261030"/>
        <n v="20261031"/>
        <n v="20261032"/>
        <n v="20261033"/>
        <n v="20261034"/>
        <n v="20261035"/>
        <n v="20261036"/>
        <n v="20261037"/>
        <n v="20261038"/>
        <n v="20261039"/>
        <n v="20261040"/>
        <n v="20261041"/>
        <n v="20261042"/>
        <n v="20261043"/>
        <n v="20261044"/>
        <n v="20261045"/>
        <n v="20261046"/>
        <n v="20261047"/>
        <n v="20261048"/>
        <n v="20261049"/>
        <n v="20261050"/>
        <n v="20261051"/>
        <n v="20261052"/>
        <n v="20261053"/>
        <n v="20261054"/>
        <n v="20261055"/>
        <n v="20261056"/>
        <n v="20261057"/>
        <n v="20261058"/>
        <n v="20261059"/>
        <n v="20261060"/>
        <n v="20261061"/>
        <n v="20261062"/>
        <n v="20261063"/>
        <n v="20261064"/>
        <n v="20261065"/>
      </sharedItems>
    </cacheField>
    <cacheField name="Objeto de la contratación" numFmtId="0">
      <sharedItems count="773" longText="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Prestar los servicios profesionales para realizar las actividades tendientes a soportar el Sistema Integrado de Administración de Personal - SIAP  a cargo del área de Tecnologías de la Información y las Comunicaciones de la U.A.E. Cuerpo Oficial de Bomberos Bogotá"/>
        <s v="Prestar servicios profesionales apoyando los lineamientos tecnológicos necesarios  para la administración y gestión de los servicios desarrollados por el  área de Tecnologías de la Información y las Comunicaciones de la U.A.E. Cuerpo Oficial de Bomberos Bogotá."/>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Prestar servicios profesionales orientados al fortalecimiento, administración y soporte de los sistemas, plataformas, infraestructura tecnológica y servicios informáticos a cargo de la Dirección de Tics de la U.A.E Cuerpo Oficial de Bomberos de Bogotá D.C"/>
        <s v="Prestar los servicios de apoyo a la gestión para desarrollar actividades de soporte técnico nivel (1 y 2) que requiera el área de Tecnologías de la Información y las Comunicaciones de la U.A.E. Cuerpo Oficial de Bomberos Bogotá"/>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Prestar servicios de apoyo a la gestión en el desarrollo de actividades asistenciales administrativas, asociadas a los procesos y procedimientos  a cargo del área de Tecnologías de la Información y las Comunicaciones de la U.A.E. Cuerpo Oficial de Bomberos Bogotá."/>
        <s v="Prestar servicios profesionales para apoyar la implementación, seguimiento y fortalecimiento del Sistema de Gestión de Seguridad de la Información (SGSI) y de la política de Gobierno Digital de la UAE Cuerpo Oficial de Bomberos de Bogotá"/>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Prestar los servicios profesionales en apoyo a la estructuración e implementación, de las herramientas misionales, creadas como soporte a los procesos y procedimientos de la U.A.E. Cuerpo Oficial de Bomberos de Bogotá."/>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Prestar los servicios profesionales en la implementación, de las herramientas misionales, creadas como soporte a los procesos y procedimientos de la U.A.E. Cuerpo Oficial de Bomberos de Bogotá."/>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Prestar servicios profesionales, en el levantamiento de requerimientos, análisis y mejora de soluciones digitales a cargo de la Dirección de Tecnologías de la Información y las Comunicaciones de la U.A.E Cuerpo Oficial de Bomberos de Bogotá D.C."/>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Contratar la prestación del servicio de monitoreo, control y seguimiento satelital a los vehículos de propiedad de la U.A.E. Cuerpo Oficial de Bomberos de Bogotá - TIC"/>
        <s v="Adición y prorroga del contrato 624 - 2025 cuyo objeto es: Adquisición, actualización y configuración de la plataforma de comunicaciones_x000a_de Voz IP compatible con la solución actual con la que cuenta la entidad."/>
        <s v="Contratar a título de comodato o préstamo de uso gratuito, impresoras multifuncionales y periféricos para el desarrollo de actividades administrativas de la UAE Cuerpo Oficial de Bomberos de Bogotá"/>
        <s v="Contratar la adquisición de dispositivos para el fortalecimiento y modernización de la infraestructura tecnológica de la U.A.E. Cuerpo Oficial de Bomberos de Bogotá."/>
        <s v="Adición y prorróga al contrato No. 245 de 2025 cuyo objeto es  &quot;Contratar el servicio de mantenimiento preventivo y correctivo de los radios portátiles y móviles marca Motorola propiedad de la U.A.E. Cuerpo Oficial de Bomberos de Bogotá – TIC&quot;"/>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Contratar el servicio de mantenimiento, soporte técnico y actualización del aplicativo PCT, utilizado por la UAE Cuerpo Oficial de Bomberos de Bogota - TIC"/>
        <s v="Modernización, mantenimiento y soporte de los componentes multimedia y tecnológicos para el equipamiento del auditorio de la sede principal de la U.A.E. Cuerpo Oficial de Bomberos Bogotá."/>
        <s v="Contratar  la suscripción de licencias Suite Adobe para la UAE Cuerpo Oficial de Bomberos de Bogotá-TIC"/>
        <s v="Contratar la prestación de servicios de enlaces de datos dedicados principales y de Backup para el fortalecimiento de la infraestructura tecnológica de la UAE cuerpo oficial de bomberos de Bogotá - TIC"/>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Contratar la adquisición de firma digital (token) para la U.A.E. Cuerpo Oficial de Bomberos de Bogotá - TIC"/>
        <s v="Prestar servicios de apoyo a la gestión como conductor para atender los requerimientos que se presenten en la Oficina Asesora de Planeación, así como los incidentes que puedan surgir en la Unidad Administrativa Especial Cuerpo Oficial de Bomberos de Bogotá."/>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Prestar servicios profesionales para la gestión, formulación, actualización y seguimiento de los proyectos de inversión asignados, en el marco de la política de Gestión Presupuestal y Eficiencia del Gasto Público del Modelo Integrado de Planeación y Gestión - MIPG."/>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Prestar servicios profesionales a la Oficina Asesora de Planeación en los temas estratégicos y transversales relacionados con el Mejoramiento Continuo y la Gestión de la Calidad, en el marco del Modelo Integrado de Planeación y Gestión (MIPG)."/>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Prestar servicios profesionales para el desarrollo de actividades orientadas a la implementación de las políticas establecidas en el marco del Modelo Integrado de Planeación y Gestión - MIPG, liderado por la Oficina Asesora de Planeación."/>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Prestar servicios profesionales para brindar apoyo jurídico en la gestión contractual y administrativa de la Oficina Asesora de Planeación, de acuerdo con los lineamientos internos y en el marco del Modelo Integrado de Planeación y Gestión - MIPG."/>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Prestar servicios profesionales para apoyar al Jefe de la Oficina de Planeación en asuntos estratégicos de la gestión administrativa"/>
        <s v="Prestar servicios profesionales a la Oficina Asesora de Planeación en los asuntos concernientes que se le asignen para la implementación del Modelo Integrado de Planeación y Gestión MIPG."/>
        <s v="Prestar servicios profesionales jurídicos especializados en la Oficina de Control Disciplinario Interno para orientar, revisar y apoyar los documentos que se elaboren en el desarrollo del proceso disciplinario en etapa de instrucción."/>
        <s v="Prestar los servicios profesionales jurídicos especializados en la Oficina de Control Disciplinario Interno de la entidad estableciendo pautas de liderazgo en las actuaciones procesales que se deban tramitar en esa dependencia en etapa de instrucción"/>
        <s v="Prestar servicios profesionales jurídicos en la Oficina de Control Disciplinario Interno de la entidad para apoyar la gestión, logística y operación de los procesos contractuales y administrativos a cargo de esta dependencia."/>
        <s v="Prestar servicios profesionales jurídicos para apoyar la instrucción y demás actuaciones que deban surtirse en los procesos disciplinarios adelantados por la Oficina de Control Disciplinario Interno."/>
        <s v="Prestar servicios profesionales para ejercer las labores de secretaría común y actividades jurídicas que requieren las actuaciones disciplinarias en etapa de instrucción adelantadas por la Oficina de Control Disciplinario Interno._x0009_"/>
        <s v="Prestación de servicios de apoyo técnico a la Oficina de Control Disciplinario Interno de la UAECOB para la gestión y cumplimiento de las funciones administrativas asignadas."/>
        <s v="Prestación de servicios de apoyo administrativo y de gestión documental a la Oficina de Control Disciplinario Interno de la UAECOB, en el manejo y organización de la documentación propia de los expedientes disciplinarios y las actividades de archivo que se requieran."/>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Prestar los servicios profesionales como abogado en la Oficina de Control Interno para el desarrollo del Plan Anual de Auditorías."/>
        <s v="Prestar los servicios profesionales como contador público en la Oficina de Control Interno para el desarrollo del Plan Anual de Auditorías."/>
        <s v="Prestar los servicios profesionales en la Oficina de Control Interno para el desarrollo del Plan Anual de Auditorías."/>
        <s v="Prestar servicios de apoyo a la gestión como técnico en la Oficina de Control Interno para ejecutar procesos y procedimientos administrativos y asistenciales teniendo en cuenta el Plan Anual de Auditorías."/>
        <s v="Prestar los servicios profesionales jurídicos especializados para orientar y apoyar los procesos de contratación en sus diferentes etapas adelantados por la Oficina Jurídica, tendientes a garantizar las necesidades propias de la UAECOB"/>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Prestar los servicios profesionales para apoyar las actividades propias de la gestión contractual a cargo de la Oficina Jurídica, en función de las necesidades identificadas por la entidad y con el propósito de garantizar el cumplimiento de su misionalidad."/>
        <s v="Prestar los servicios profesionales jurídicos especializados en la Oficina Jurídica que garantice la verificación de la legalidad, en apoyo a cada una de las actuaciones a cargo de esta Oficina."/>
        <s v="Prestar servicios profesionales para apoyar en la estructuración de las acciones de mejora, seguimiento  a la gestión contractual de la Entidad y demás procedimientos, en el marco de las funciones de la Oficina Jurídica"/>
        <s v="Prestar servicios profesionales para apoyar en la estructuración de las acciones de mejora, elaboración de informes y soporte de las funciones administrativas y de mejora"/>
        <s v="Prestar los servicios profesionales jurídicos especializados para apoyar el desarrollo de las funciones de la Oficina Jurídica"/>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Prestar los servicios profesionales para realizar el acompañamiento administrativo y financiero en temas de liquidación y cierre de expedientes, como demás actuaciones administrativas requeridas de los procesos contractuales"/>
        <s v="Prestar los servicios profesionales especializados para la representación judicial  de la Entidad y la prevención del daño antijurídico."/>
        <s v="Prestar los servicios de apoyo para las gestiones administrativas requeridas en la Oficina Jurídica."/>
        <s v="Prestar los servicios de apoyo para las gestiones documentales y administrativas requerida por la Oficina  Jurídica."/>
        <s v="Prestar los servicios profesionales para apoyar la gestión de la información y presupuestal y elaborar los informes reglamentarios que la Oficina Jurídica debe presentar a los entes de control, respuestas a la ciudadanía y otros informes que den cuanta de su gestión."/>
        <s v="Prestar servicios profesionales para realizar la gestión de tramites y actividades que se requieran en los diferentes procesos disciplinarios propios de la etapa de juzgamiento de la Oficina Jurídica en la UAECOB"/>
        <s v="Prestar los servicios profesionales para apoyar la depuración de la cartera de cobro coactivo, así como actividades propias de la defensa judicial de la Entidad y demas actiuaciones relacionadas que requiera la Oficina Jurídica"/>
        <s v="Prestación de servicios profesionales jurídicos para orientar y apoyar el trámite y la gestión de los procesos disciplinarios que se adelanten en la Oficina Jurídica de la Unidad Administrativa Especial Cuerpo Oficial de Bomberos Bogotá"/>
        <s v="Prestar servicios profesionales de carácter jurídico para apoyar y fortalecer de manera integral las actividades propias de la Oficina Jurídica"/>
        <s v="Prestar los servicios profesionales jurídicos para apoyar las actuaciones procesales y procedimentales de la Oficina Jurídica"/>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SGH - Prestar servicios profesionales en la Subdirección de Gestión Humana de la UAE Cuerpo Oficial de Bomberos de Bogotá, para apoyar las actividades relacionadas con la administración de personal, en el marco de la normatividad y lineamientos institucionales vigentes."/>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SGH - Prestar servicios de apoyo a la Academia de la UAE Cuerpo Oficial de Bomberos de Bogotá D.C., para el desarrollo logístico y administrativo, contribuyendo al fortalecimiento de la formación, capacitación y gestión institucional."/>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SGH - Garantizar los recursos para movilización efectiva del personal operativo en la atención de emergencias"/>
        <s v="SGH - Garantizar los recursos para viáticos y adquisición de tiquetes, con el fin de permitir el desplazamiento del personal en desarrollo de actividades misionales, operativas o de capacitación  "/>
        <s v="SGH - Adquisición de Equipos y Herramientas para los procesos de Capacitación a cargo de la Academia de la UAE Cuerpo Oficial de Bomberos de Bogotá"/>
        <s v="SGH - Prestar los servicios de capacitación y formación  para el curso instructor Proboard para el personal operativo de la Unidad Administrativa Especial Cuerpo Oficial de Bomberos Bogotá."/>
        <s v="SGH- Adquisición de material bibliográfico de consulta para estudio y capacitación, que servirá como base de la biblioteca para la academia de la UAE Cuerpo Oficial de Bomberos de Bogotá"/>
        <s v="SGH -Contratar la realización de los exámenes Médicos Ocupacionales para el personal de la UAE Cuerpo Oficial de Bomberos de Bogotá"/>
        <s v="SGH - Contratar la Prestación de Servicios para desarrollar el Plan de Bienestar de la UAE Cuerpo Oficial de Bomberos para la Vigencia 2026"/>
        <s v="SGH - Adquirir elementos de protección personal para prevenir la aparición de enfermedades ocupacionales en el oido, de los funcionarios de la UAE Cuerpo Oficial de Bomberos de Bogotá"/>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Suministro e instalación de llantas para los vehículos y equipos menores incluye (alineación, balanceo y servicios conexos) de la U.A.E Cuerpo Oficial de Bogotá-SBLG"/>
        <s v="Prestación de servicios profesionales apoyando el control legal de los procesos y acciones, especialmente la gestión contractual para el desarrollo de las estrategías de la Subdirección Logística - SBLG"/>
        <s v="Prestación de servicios profesionales para apoyar en la elaboración, tramite e impulso de los procesos de contratación en sus diferentes etapas para el desarrollo de las estrategías de la Subdirección Logística - SBLG."/>
        <s v="Prestación de servicios profesionales para apoyar en la elaboracion, seguimiento e impulso de la actuaciones procesales en cada una de las etapas para la adquisición de bienes y servicios en el desarrollo de las estrategias de la Subdirección Logística. SBLG."/>
        <s v="Prestación de servicios profesionales, para apoyar la estructuración y elaboración de los asuntos contractuales en sus diferentes etapas en la adquisicion de bienes y servicios para el desarrollo de las estrategías de la Subdirección Logística.- SBLG"/>
        <s v="Prestación de servicios profesionales de carácter jurídico para apoyar la gestión administrativa y la adquisición de bienes y servicios para el desarrollo de las estrategias de la Subdirección Logística. -SBLG"/>
        <s v="Prestar servicios profesionales para apoyar el seguimiento y garantizar la adecuada ejecución presupuestal y financiera de los diferentes planes, programas, proyectos administrativos y financieros a cargo de la Subdirección Logística- SBLG"/>
        <s v="Prestar los servicios profesionales para la gestión, financiera de los proyectos y procesos para el fortalecimiento de las estrategías de la Subdirección Logística - SBLG."/>
        <s v="Prestación de servicios profesionales para apoyar la gestión financiera y presupuestal de los proyectos, planes y estrategias a cargo de la Subdirección Logística - SBLG"/>
        <s v="Prestar servicios de apoyo técnico en asuntos administrativos, financieros, documentales y emisión de informes para el desarrollo de las estrategías de la Subdireccion Logística-SBLG"/>
        <s v="Prestar servicios profesionales para realizar el seguimiento, revisión y validación de los asuntos presupuestales, financieros y administrativos necesarios para la gestión de pagos de los contratos a cargo de la subdirección logística. - SBLG"/>
        <s v="Prestación de servicios profesionales para la gestión, seguimiento y control administrativo, técnico y operativo del proceso de mantenimiento del parque automotor a cargo de la Subdirección Logística - SBLG."/>
        <s v="Prestación de servicios profesionales en la gestión, seguimiento y control administrativo, financiero, presupuestal y contractual del proceso de mantenimiento del parque automotor a cargo de la Subdirección Logística - SBLG."/>
        <s v="Prestación de servicios profesionales para la gestión, seguimiento y control  técnico y operativo del proceso de mantenimiento del parque automotor a cargo de la Subdirección Logística - SBLG."/>
        <s v="Prestar servicios profesionales en las actividades administrativas y financieras que requieran los procesos para el desarrollo de las estrategías de la Subdirección Logística- SBLG"/>
        <s v="Prestar servicios de apoyo a la gestión en el manejo de las herramientas tecnológicas en la recepción diligenciamiento y trámite asociadas a la mesa logística. – SBLG"/>
        <s v="Prestar servicios de apoyo técnico en la gestión documental, administrando y diligenciando las bases de datos, y demás documentos para el desarrollo de las estrategias de la Subdirección logística. -SBLG"/>
        <s v="Prestar servicio de apoyo a la gestión para asistir a la Subdirección Logística en el seguimiento técnico y administrativo de los mantenimientos requeridos en la Subdirección Logística - SBLG"/>
        <s v="Prestar servicios profesionales en las diferentes estrategias adelantadas por la subdirección Logistica en los procesos de planeación, logísticos, administrativos y financieros que se deriven de las competencias propias del area - SBLG"/>
        <s v="Prestar servicios de apoyo a la gestión en actividades administrativas y documentales para el desarrollo de las estrategías de la Subdirección Logística - SBLG"/>
        <s v="Prestar servicios profesionales de caracter tecnologico apoyando la estructuración, elaboración, manejo y optimización de las herramientas tecnológicas a cargo de la Subdirección Logística – SBLG."/>
        <s v="Prestar servicios como conductor para apoyar en la gestiónes tecnicas y operativas para la Subdirección Logistica- SBLG."/>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Prestar servicios profesionales para apoyar en las actividades administrativas y tecnicas de los elementos e inventario a cargo Subdirección Logistica  – SBLG."/>
        <s v="Prestar servicios profesionales para la gestión del Plan Estratégico de Seguridad Vial (PESV), participación en el comité correspondiente y el desarrollo de programas y actividades asignadas para el desarrollo de las estrategías de la Subdirección Logística SBLG."/>
        <s v="Prestar servicios de apoyo a la gestión en las actividades de soporte operacional para el desarrollo de las estrategías de la Subdirección Logística. SBLG"/>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Prestar servicios de apoyo a la gestión para el seguimiento y control de los suministros y consumibles  necesarios para la oportuna disponibilidad en la atención de emergencias -SBLG"/>
        <s v="Prestar servicios profesionales para el seguimiento y control en la cadena de suministros e insumos para la atención de emergencias garantizando la entrega oportuna de los bienes y servicios de la Subdirección Logística. SBLG"/>
        <s v="Prestar servicios profesionales para el seguimiento administrativo, financiero y de control en la cadena de suministros e insumos en la atención de emergencias garantizando la entrega de los bienes y servicios de la Subdirección Logística. SBLG"/>
        <s v="Prestación de servicios profesionales para la gestión, seguimiento y control administrativo, técnico y operativo del equipo menor a cargo de la Subdirección Logística. SBLG."/>
        <s v="Prestar servicio de apoyo a la gestión para asistir a la Subdirección Logística en el seguimiento técnico y administrativo de los mantenimientos minimos requeridos en la Subdirección Logística - SBLG"/>
        <s v="Prestación de servicios profesionales para realizar el seguimiento y monitoreo a los diferentes procesos y procedimientos del equipo menor a cargo de la Subdirección Logística - SBLG"/>
        <s v="Prestar servicios de apoyo a la gestión en actividades administrativas y documentales en el procedimiento de equipo menor desarrollo de las estrategías de la Subdirección Logística - SBLG - SBLG"/>
        <s v="Prestación de servicios profesionales para realizar el seguimiento, verificación y asignación de las solicitudes recepcionadas atraves de las herramientas tecnológicas  asociadas a la Subdirección Logística - SBLG"/>
        <s v="Prestar servicios profesionales para el seguimiento y gestión de las actividades establecidas en los planes de acción y estratégicos; así como, de los procesos de planeación y administrativos propios de Subdirección Logística - SBLG&quot;"/>
        <s v="Prestar servicios profesionales apoyando las estrategias de comunicación, capacitación y gestión administrativa que promueva el uso y apropiación de los programas desarrollados en cada una de las estrategías de la Subdirección Logística - SBLG"/>
        <s v="Suministrar combustible para el parque automotor y los equipos especializados de la U.A.E. Cuerpo Oficial de Bomberos Bogotá, dentro y fuera del perímetro del Distrito Capital – SBLG."/>
        <s v="Mantenimiento correctivo y preventivo de los equipos menores con suministro, repuestos, accesorios e insumos de propiedad de la UAECOB. – SBLG "/>
        <s v="Contratar el suministro de alimentación para los caninos del cuerpo oficial y animales rescatados por la U.A.E. del Cuerpo Oficial de Bomberos de Bogotá –  SBLG"/>
        <s v="Proveer el suministro de elementos de bioseguridad e insumos médicos básicos y otros para la atención de emergencias. - SBLG"/>
        <s v="Suministro de alimentación e hidratación para el cuerpo operativo en la atención de emergencias, entrenamientos, capacitaciones y actividades de prevención.-SBLG "/>
        <s v="Prestación de servicios médicos veterinarios, con suministro de medicamentos e insumos veterinarios y otros, para los caninos de la U.A.E. Cuerpo Oficial de Bomberos de Bogotá -  SBLG"/>
        <s v="Prestar el servicio de mantenimiento preventivo y correctivo de los compresores BAUER propiedad de la U.A.E. Cuerpo Oficial de Bomberos de Bogotá, incluido el suministro de repuestos, insumos y mano de obra especializada.  - SBLG"/>
        <s v="Prestar el servicio de  mantenimiento y recarga de extintores, cilindros y tanques de las maquinas extintoras de la UAECOB.  - SBLG"/>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Suministrar los repuestos, accesorios e insumos de los equipos de rescate vehicular liviano y pesado marca LUKAS-  SBLG"/>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Adición al contrato 622-2025 cuyo objeto es: ¨Prestación del servicio de mantenimiento preventivo y correctivo de los equipos de respiración autónoma interspiro propiedad de la UAECOB, incluido el suministro de repuestos, insumos mano de obra especializada –SBLG"/>
        <s v="Prestar el servicio de mantenimiento preventivo y correctivo de los Equipos de Rescate Vehicular HOLMATRO propiedad de la UAECOB, incluido el suministro de repuestos, insumos y mano de obra especializada -  SBLG"/>
        <s v="Contratar el servicio de revision técnico mecánica y de emision de gases contaminantes para los vehiculos que forman parte del parque automotor de la Unidad Administrativa Especial Cuerpo Oficial de Bomberos de Bogotá - UAECOB-SBLG"/>
        <s v="Prestación de servicios de apoyo al proceso de comunicaciones en emergencias del centro de coordinación y comunicaciones (c.c.c.), para el desarrollo de los programas a cargo de la Subdirección Operativa-S.O."/>
        <s v="Prestación de servicios para realizar la gestión administrativa requerida en la estación de bomberos asignada, para el desarrollo de los programas a cargo de la Subdirección Operativa-S.O."/>
        <s v="Prestación de servicios para la gestión administrativa y documental realizando los reportes requeridos para el desarrollo de los programas a cargo de la Subdirección Operativa-S.O."/>
        <s v="Prestación de servicios profesionales para atender las actividades de bienestar de los caninos y los animales rescatados o recuperados que  atiende el grupo BRAE, para el desarrollo de los programas a cargo de la Subdirección Operativa-S.O."/>
        <s v="Prestación de servicios de apoyo para desarrollar y mantener las condiciones básicas de bienestar de los caninos y  animales rescatados o recuperados que atiende el grupo BRAE, para la gestión de los programas a cargo de la Subdirección Operativa-S.O."/>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Prestación de servicios profesionales para el fortalecimiento de los procesos de comunicaciones y  en articulación con otras dependencias de la entidad y de los procesos y programas a cargo de la Subdirección  Operativa-S.O."/>
        <s v="Prestación de servicios profesionales para realizar seguimiento y verificación  de las actividades relacionadas con la Subdirección Logística en los procesos, procedimientos y programas a cargo de la Subdirección Operativa-S.O."/>
        <s v="Prestación de servicios profesionales para apoyar en el análisis de información, reportes, documentos técnicos y demás productos relacionados con la atención de emergencias de la entidad y  de los  programas a cargo de la Subdirección  Operativa-S.O."/>
        <s v="Prestación de servicios profesionales para apoyar el fortalecimiento de la dependencia y la articulación con entidades externas, para el desarrollo de los programas a cargo de la Subdirección Operativa-S. O."/>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Prestación de servicios profesionales para ejecutar los aspectos jurídicos en las diferentes modalidades de contratación que requiera la Subdirección operativa para el cumplimiento de su misionalidad y de los programas a cargo-S.O."/>
        <s v="Prestación de servicios profesionales para apoyar las gestiones de carácter contractual en sus diferentes etapas y las gestiones administrativas a cargo, para el desarrollo de los programas de la Subdirección operativa-S.O."/>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Prestación de servicios profesionales para apoyar jurídicamente los proyectos, procesos y procedimientos, para e desarrollo de los programas de la subdirección operativa-S.O"/>
        <s v="Prestar servicios profesionales  para apoyar el fortalecimiento, articulación, seguimiento y gestión de los proyectos de inversión,  planes e indicadores de gestión, para el desarrollo de los programas de la Subdirección Operativa-S.O."/>
        <s v="Prestación de servicios profesionales para realizar el seguimiento, verificación, control y  diligenciamiento de los requerimientos propios, en los sistemas de información de la Entidad, para el desarrollo de los programas de la Subdirección Operativa-S.O."/>
        <s v="Prestación de servicios profesionales para liderar y gestionar los temas operativos, incluyendo  el trabajo articulado con tecnología para implementar el sistema de información   de emergencias,  para el desarrollo de los programas  de la Subdirección Operativa-S.O."/>
        <s v="Prestación de servicios profesionales para la elaboración, diagramación de piezas gráficas con estilos de textos e informes requeridos frente a los procesos y procedimientos, para el desarrollo de los programas de la Subdirección Operativa-S.O."/>
        <s v="Prestación de servicios de apoyo para ejecutar las actividades administrativas, trámite, seguimiento y verificación de solicitudes recibidas en el canal de comunicación de gestión operativa para el desarrollo de los programas de la Subdirección Operativa-S.O."/>
        <s v="Prestación de servicios profesionales para ejecutar las actividades relacionadas con el sistema de gestión de calidad, el sistema ambiental y el sistema de control interno, para el desarrollo los programas de la Subdireccion Operativa-S.O."/>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Prestación de servicios profesionales para la elaboración de informes o documentos técnicos, infografías, reportes y consolidación de indicadores relacionados con los procesos, y procedimientos, para el desarrollo de los programas de la Subdirección Operativa-S.O."/>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Pago pasivo exigible Subdirección Operativa"/>
        <s v="Prestación de servicios profesionales para atender las actividades de seguimiento, verificación y control de los procesos y procedimientos, para el desarrollo de los programas a cargo de la Subdirección Operativa-S.O."/>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Prestación de servicios profesionales jurídicos para  realizar el seguimiento y control de las actividades de gestión propias de los procesos y procedimientos, para el acompañamiento de los programas y metas de la Subdirección Operativa-S.O."/>
        <s v="Prestación de servicios profesionales jurídicos para  realizar el seguimiento y control de  los procesos, procedimientos y respuesta a entes de control, para el acompañamiento de los programas y metas de la Subdirección Operativa-S.O."/>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Prestación de servicios profesionales para realizar la consolidación, seguimiento financiero, control y reporte de los planes y proyectos de inversión e indicadores, para el apoyo de los programas de la Subdirección Operativa-S.O."/>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Prestación de servicios de apoyo a la gestión en las actividades documentales, administrativas y manejo de las herramientas de gestión, para el acompañamiento de los programas de la Subdirección Operativa S.O."/>
        <s v="Adquisición de uniformes y chaquetas para el personal operativo de la UAECOB"/>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Prestar servicios de apoyo como conductor a las acciones misionales de la Subdirección de Gestión del Riesgo."/>
        <s v="Prestar servicios profesionales para apoyar la planeación y gestión de las  estrategias de reducción y/o conocimiento del riesgo  para la Subdirección de Gestión del Riesgo._SGR"/>
        <s v="Prestar servicios profesionales en  los componentes tecnológicos e informáticos relacionados con los aspectos misionales de la Subdirección de Gestión del Riesgo._SGR"/>
        <s v="Prestar servicios de apoyo para el seguimiento y respuesta de requerimientos ciudadanos relacionados con la misionalidad de la Subdirección de Gestión del Riesgo_SGR"/>
        <s v="Prestar servicios profesionales en la gestión misional mediante el  análisis y seguimiento financiero de la Subdirección de Gestión del Riesgo_SGR"/>
        <s v="Prestar servicios profesionales para la gestión misional  mediante la estructuración y seguimiento de procesos contractuales y asuntos jurídicos de la Subdirección de Gestión del Riesgo_SGR"/>
        <s v="Prestar servicios profesionales para la gestión misional en sus componentes técnico, administrativo y financiero de la Subdirección de Gestión del Riesgo_SGR. "/>
        <s v="Prestar servicios profesionales  liderando las actividades del proceso de inspecciones técnicas de la subdireccion de gestion del riesgo.._SGR"/>
        <s v="Prestar  servicios profesionales en las actividades relacionadas con la emision de conceptos a cargo de la Subdirección de Gestión del Riesgo._SGR"/>
        <s v="Prestarservicios profesionales en las actividades relacionadas con la emision de conceptos a cargo de la Subdirección de Gestión del Riesgo._SGR"/>
        <s v="Prestar  servicios de apoyo tecnico para realizar las inspecciones relacionadas con la emision de conceptos a cargo de la Subdirección de Gestión del Riesgo._SGR"/>
        <s v="  Prestar  servicios de apoyo tecnico para realizar las inspecciones relacionadas con la emision de conceptos a cargo de la Subdirección de Gestión del Riesgo._SGR"/>
        <s v="Prestar servicios profesionales en las actividades de monitoreo del riesgo para la Subdirección de Gestión del Riesgo._SGR"/>
        <s v="Prestar servicios profesionales liderando las actividades de Programas y Campañas de Prevención para la Subdirección de Gestión del Riesgo._SGR"/>
        <s v="Prestar servicios profesionales en las actividades de Programas y Campañas de Prevención para la Subdirección de Gestión del Riesgo._SGR"/>
        <s v="Prestar servicios de apoyo en las actividades de Programas y Campañas de Prevención para la Subdirección de Gestión del Riesgo. _SGR"/>
        <s v="Prestar servicios apoyo técnico para el desarrollo de los contenidos graficos, piezas comunicativa y de imagen institucional para la Subdirección de Gestión del riesgo._SGR"/>
        <s v="Prestar servicios profesionales  liderando los procesos de formacion y capacitacion de la subdirección de gestión del riesgo._SGR"/>
        <s v="Prestar servicios profesionales en los procesos de formacion y capacitacion de la subdirección de gestión del riesgo._SGR"/>
        <s v="Prestar servicios profesionales liderando las actividades de identificacion y caracterizacion  de escenarios  de riesgos a cargo de la Subdirección de Gestión del Riesgo._SGR"/>
        <s v="Prestar servicios profesionales en las actividades de identificacion y caracterizacion  de escenarios  de riesgos a cargo de la Subdirección de Gestión del Riesgo._SGR"/>
        <s v="prestar servicios profesionales liderando las actividades de monitoreo del riesgo de la subdirecion  de gestión del riesgo_SGR"/>
        <s v="Prestar servicios  de apoyo en las actividades de monitoreo del riesgo para la Subdirección de Gestión del Riesgo._SGR"/>
        <s v="Prestar  servicios profesionales  liderando las actividades de proyeccion e innovacion para la Subdirección de Gestión del Riesgo._SGR"/>
        <s v="Prestar  servicios profesionales  en las actividades de proyeccion e innovacion para la Subdirección de Gestión del Riesgo._SGR"/>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Adquisición de suministros y elementos de identificación institucional para el fortalecimiento de los procesos misionales de la Subdirección de Gestión del Riesgo_SGR"/>
        <s v="Adquisición de insumos y materias primas para la producción de materiales impresos en artes gráficas_ SGR."/>
        <s v="Prestar el servicio de vigilancia y seguridad privada en la modalidad de vigilancia fija, según especificaciones técnicas, en las instalaciones donde la UAE Especial Cuerpo Oficial de Bomberos requiera-SGC"/>
        <s v="Construcción de la estación de bomberos Caobos Salazar  B13 - de la UAE Cuerpo Oficial de Bomberos de Bogotá – SGC"/>
        <s v="Interventoría técnica, administrativa, financiera, contable, jurídica y ambiental para la elaboración de estudios y diseños técnicos para la construcción de la estación de bomberos Caobos Salazar  B13- de la UAE Cuerpo Oficial de Bomberos de Bogotá – SGC"/>
        <s v="Prestación de servicios profesionales para apoyar a la supervisión con las actividades técnicas del Área de Infraestructura de la Subdirección de Gestión Corporativa-SGC"/>
        <s v="Prestación de servicios profesionales para apoyar las actividades de estructuración de procesos contractuales del Área de Infraestructura de la Subdirección de Gestión Corporativa-SGC"/>
        <s v="Prestar los servicios profesionales en las actividades asociadas del área de infraestructura que contribuyan para la implementación de procesos y procedimientos para la adecuada prestación del servicio-SGC."/>
        <s v="Prestar los servicios profesionales para el acompañamiento y el seguimiento de los comodatos y demás actividades relacionadas con los procesos y procedimientos de inventarios de la Subdireccion de Gestión Corporativa-SGC"/>
        <s v="Prestación de servicios de apoyo a la gestión en la ejecución de los planes y programas de servicio al ciudadano a cargo de la Subdirección de Gestión Corporativa.-SGC"/>
        <s v="Prestación de servicios profesionales para articular la gestión en la ejecución de los planes y programas de servicio al ciudadano a cargo de la Subdirección de Gestión Corporativa.-SGC"/>
        <s v="Prestación de servicios profesionales en la Subdirección de Gestión Corporativa adelantando las actividades necesarias para la ejecución del programa y los procesos de seguros de la Entidad-SGC"/>
        <s v="Prestación de servicios de apoyo en la gestión de seguros de la Subdirección de Gestión Corporativa. –SGC"/>
        <s v="Prestación de servicios profesionales para apoyar a la Subdirección de Gestión Corporativa aplicando los procesos y procedimientos de seguros e inventarios -SGC"/>
        <s v="Prestación de servicios de apoyo a la gestión de seguros de la Subdirección de Gestión Corporativa. –SGC"/>
        <s v="Prestación de servicios profesionales en la Subdirección de Gestión Corporativa en las actividades relacionadas con MIPG-SGC"/>
        <s v="Prestación de servicios de apoyo a la gestión del proceso de inventarios de la Subdirección de Gestión Corporativa.-SGC"/>
        <s v="Prestar servicios profesionales en la Subdirección de Gestión Corporativa en lo relacionado con los procesos de inventarios, almacén y bajas-SGC"/>
        <s v="Prestar servicios profesionales para desarrollar e implementar sistemas de información, brindar soporte, mantenimiento y generar interoperabilidad con la Subdirección de Gestión Corporativa -SGC"/>
        <s v="Prestación de servicios profesionales para la ejecución de los procesos contables que se desarrollan en el Área Financiera de la UAE Cuerpo Oficial de Bomberos asignados. -SGC"/>
        <s v="Prestación de servicios de apoyo a la gestión documental de la Subdirección de Gestión Corporativa de la Unidad.-SGC."/>
        <s v="Prestación de servicios de apoyo a la gestión documental de la Subdirección de Gestión Corporativa de la Unidad.-SGC"/>
        <s v="Prestación de servicios profesionales para la implementación, consolidación, seguimiento y reporte de los lineamientos ambientales establecidos en el Plan Institucional de Gestión Ambiental (PIGA) en cada una de las sedes de la UAE Cuerpo Oficial de Bomberos Bogotá-SGC."/>
        <s v="Prestar los servicios profesionales para la gestión administrativa y operativa de la Subdirección de Gestión Corporativa en el proceso de adquisición de bienes y servicios - SGC"/>
        <s v="Prestar los servicios como conductor de la Subdirección de Gestión Corporativa -SGC"/>
        <s v="Prestar servicios profesionales en la Subdirección de Gestión Corporativa en el marco de las actividades administrativas de la Dependencia.-SGC"/>
        <s v="Prestar servicios profesionales para realizar acompañamiento juridico en la elaboración de los procesos contractuales adelantados por la Subdirección Gestión Corporativa -SGC"/>
        <s v="Prestación de servicios profesionales para adelantar actividades técnicas y trámites administrativos del Área de Infraestructura de la Subdirección de Gestión Corporativa-SGC"/>
        <s v="Prestación de servicios profesionales especializados para articular y revisar los procesos y procedimientos del área de infraestructura, así como en el apoyo a la supervisión de los contratos que le sean asignados-SGC"/>
        <s v="Prestación de Servicios Profesionales para la formulación, seguimiento y ejecución de procesos presupuestales y financieros a cargo del área de infraestructura de la Subdirección de Gestión Corporativa -SGC"/>
        <s v="Prestación de servicios profesionales para atender las necesidades de mantenimiento de las instalaciones y las actividades técnicas y administrativas de competencia del Área de Infraestructura de la Subdirección de Gestión Corporativa-SGC"/>
        <s v="Prestación de Servicios Profesionales en temas financieros, administrativas y misionales para apoyar los proyectos de infraestructura de la Subdirección de Gestión Corporativa.- SGC"/>
        <s v="Prestar servicios profesionales especializados para acompañar jurídicamente los procesos y procedimientos del área de infraestructura de la Subdirección de Gestión Corporativa. SGC"/>
        <s v="Prestación de servicios profesionales para apoyar las actividades técnicas del Área de Infraestructura de la Subdirección de Gestión Corporativa-SGC"/>
        <s v="Prestar servicios profesionales con el fin de atender los trámites ambientales y los demás que requiera el área de Infraestructura de la Subdirección de Gestión Corporativa. SGC"/>
        <s v="Prestar los servicios como conductor del  Area de Infraestructura a fin de atender las actividades propias asociadas al mantenimiento de las sedes de UAECOB de la Subdirección de Gestión Corporativa -SGC"/>
        <s v="Prestación de servicios de apoyo a la gestión, en la Subdirección de Gestión Corporativa en temas de infraestructura para el sostenimiento y mejoramiento de los equipamientos de la Unidad Administrativa Especial Cuerpo Oficial de Bomberos de Bogotá-SGC"/>
        <s v="Prestación de servicios profesionales al área Financiera de la Subdirección de Gestión Corporativa--SGC"/>
        <s v="Prestación de servicios de apoyo a la gestión del área Financiera de la Subdirección de Gestión Corporativa.-SGC"/>
        <s v="Prestación de servicios profesionales para el seguimiento, ejecución de los procesos de gestión de pagos que se desarrollan en el área Financiera de la UAE Cuerpo Oficial de Bomberos asignados. -SGC"/>
        <s v="Prestación de servicios profesionales especializados para apoyar las actividades de seguimiento técnico del Área de Infraestructura de la Subdirección de Gestión Corporativa-SGC"/>
        <s v="Prestación de servicios profesionales en la proyección y el seguimiento financiero a los proyectos del área de infraestructura de la Subdirección de Gestión Corporativa -SGC"/>
        <s v="Prestación de servicios profesionales con el fin de gestionar trámites de carácter técnico, administrativo y operativamente en el desarrollo de los proyectos de inversión  de la entidad-SGC"/>
        <s v="Prestación de servicios profesionales especializados para articular y revisar los procesos y procedimientos de la gestión administrativa a cargo de la Subdirección de Gestión Corporativa.- SGC"/>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Prestar los servicios profesionales especializados para acompañar las actividades jurídicas relacionadas con la gestión contractual en las etapas precontractual, contractual y postcontractual del área administrativa de la Subdirección de Gestión Corporativa -SGC"/>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Prestación de servicios profesionales especializados para apoyar las actividades técnicas y gestión predial del Área de Infraestructura de la Subdirección de Gestión Corporativa-SGC"/>
        <s v="Prestación de servicios de apoyo en las actividades asociadas a los procesos de almacén de la Subdirección de Gestión Corporativa SGC"/>
        <s v="Prestación de servicios profesionales para atender las actividades financieras, a cargo de la Subdirección de Gestión Corporativa-SGC"/>
        <s v="Prestación de servicios de apoyo a la gestión de los procesos contractuales en la plataforma SECOP II a cargo de la Subdirección de Gestión Corporativa-SGC"/>
        <s v="Prestación de servicios profesionales en el marco de las actividades administrativas de la Subdirección de Gestión Corporativa--SGC"/>
        <s v="Prestar los servicios profesionales de la gestión administrativa, así como la adquisición de bienes y servicios de la Subdirección de Gestión Corporativa  SGC"/>
        <s v="Prestar servicios profesionales para realizar acompañamiento en los procesos contractuales adelantados por la Subdirección Gestión Corporativa -SGC"/>
        <s v="Prestar los servicios profesionales jurídicos para apoyar las actividades propias, en procesos prediales que contribuyan al desarrollo de la infraestructura requerida por la entidad para la adecuada prestación del servicio-SGC"/>
        <s v="Prestar los servicios profesionales técnicos para apoyar las actividades propias que contribuyan al desarrollo de la infraestructura requerida por la entidad para la adecuada prestación del servicio-SGC"/>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Prestar servicios profesionales como ingeniero mecanico para apoyar las actividades propias que contribuyan al desarrollo de la infraestructura requerida por la entidad para la adecuada prestación del servicio-SGC"/>
        <s v="Prestación de servicios de apoyo en las actividades asociadas a los procesos de gestión de inventarios de la Subdirección de Gestión Corporativa.-SGC"/>
        <s v="Prestación de servicios de apoyo técnico en la gestión documental de la Subdirección de Gestión Corporativa de la Unidad-SGC"/>
        <s v="Prestar los servicios profesionales para el acompañamiento y seguimiento de los planes y proyectos del area de inventarios de la Subdireccion de Gestión Corporativa-SGC"/>
        <s v="Prestar los servicios profesionales en el area de inventarios de la Subdireccion de Gestión Corporativa-SGC"/>
        <s v="Prestación de servicios de apoyo en las actividades asociadas a los procesos administrativo de la Subdirección de Gestión Corporativa- SGC"/>
        <s v="Prestar los servicios profesionales para el acompañamiento y seguimiento de los planes y proyectos del grupo del almacén de la Subdireccion de Gestión Corporativa-SGC"/>
        <s v="Prestación de servicios profesionales en el acompañamiento y asistencia al proceso de gestión documental de la UAE Cuerpo oficial de Bomberos. -SGC"/>
        <s v="Prestación de servicios profesionales especializados para desarrollar las actividades técnicas y administrativas del Área de Infraestructura de la Subdirección de Gestión Corporativa-SGC."/>
        <s v="Prestación de servicios profesionales especializados para desarrollar las actividades técnicas y administrativas del Área de Infraestructura de la Subdirección de Gestión Corporativa-SGC"/>
        <s v="Prestar servicios profesionales especializados como ingeniero electrónico para apoyar las actividades propias que contribuyan al desarrollo de la infraestructura requerida por la entidad para la adecuada prestación del servicio-SGC"/>
        <s v="Contratar la prestación del servicio de aseo y cafetería incluido insumos para la Unidad Administrativa Especial Cuerpo Oficial de Bomberos Bogotá -SGC"/>
        <s v="Prestar el servicio y mantenimiento de equipos de higienización, desodorización y aromatización para la Unidad Administrativa Especial Cuerpo Oficial de Bomberos Bogotá-SGC"/>
        <s v="Mantenimiento preventivo y/o correctivo, y suministros de repuestos de los equipos gasodomésticos y solares y adecuaciones de las redes de gas natural para las Estaciones de la Unidad Administrativa Especial Cuerpo Oficial de Bomberos Bogotá -SGC"/>
        <s v="Mantenimiento preventivo y/o correctivo, y suministro de repuestos de los equipos de gimnasio de las diferentes instalaciones a cargo de la Unidad Administrativa Especial Cuerpo Oficial de Bomberos Bogotá -SGC"/>
        <s v="Suministro  de muebles, enseres y demàs elementos requeridos para la Unidad Administrativa Especial Cuerpo Oficial de Bomberos Bogotá -SGC"/>
        <s v="Mantenimiento preventivo y/o correctivo, suministros y repuestos de los electrodomésticos de las instalaciones a cargo de la UAE Cuerpo Oficial de Bomberos Bogotá-SGC"/>
        <s v="Mantenimiento preventivo y correctivo, que incluye el suministro de insumos y repuestos de las plantas eléctricas ubicadas en los diferentes edificios de la Unidad Administrativa Especial Cuerpo Oficial de Bomberos Bogotá -SGC"/>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Mantenimiento preventivo y correctivo de la red contraincendios  y sistemas de detención de alarmas contra incendios a las instalaciones de la  Unidad Administrativa Especial Cuerpo Oficial de Bomberos Bogotá -SGC"/>
        <s v="Realizar el mantenimiento predictivo, preventivo, correctivo y mejoras a las instalaciones de las dependencias de la Unidad Administrativa Especial Cuerpo Oficial de Bomberos Bogotá -SGC"/>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Mantenimiento preventivo y correctivo, que incluye el suministro de insumos y repuestos de las lavadoras y secadoras industriales ubicadas en las estaciones de bomberos de la UAE Cuerpo Oficial de Bomberos de Bogotá-SGC"/>
        <s v="Realizar el mantenimiento preventivo, correctivo de puertas automatizadas para las salas de máquinas de las estaciones de la UAE Cuerpo Oficial de Bomberos-SGC"/>
        <s v="Contratar el servicio de saneamiento ambiental, corte de césped, jardinería, poda y tala de árboles para las sedes (predios y/o estaciones) de la Unidad Administrativa Especial Cuerpo Oficial de Bomberos de Bogotá – SGC"/>
        <s v="Prestar el servicio de recolección y disposición final de los residuos sanitarios y aguas no tratadas de las instalaciones de la Unidad Administrativa Especial Cuerpo Oficial de Bomberos de Bogotá – SGC"/>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Suministro  de implementos  de  papelería y oficina para las dependencias  para la Unidad Administrativa Especial Cuerpo Oficial de Bomberos Bogotá -SGC"/>
        <s v="Suministro de insumos para lavandería-SGC"/>
        <s v="Arrendamiento de instalaciones estación Ferias-SGC"/>
        <s v="Adición y prórroga No. 1 al contrato 491 de 2025 que tiene como objeto “Mantenimiento ascensor nueva Estación de Bomberos de Fontibón-SGC"/>
        <s v="Mantenimiento correctivo y preventivo con suministro de repuestos para el ascensor estación de bomberos Fontibón B6 -SGC"/>
        <s v="Adición No. 1 al contrato 586 de 2025 que tiene como objeto “Mantenimiento correctivo y preventivo con suministro de repuestos para los ascensores edificio comando-SGC"/>
        <s v="Mantenimiento correctivo y preventivo con suministro de repuestos para los ascensores edificio comando-SGC"/>
        <s v="Adición y prórroga No. 1 al contrato 638 de 2025 que tiene como objeto “Mantenimiento correctivo y preventivo con suministro de repuestos ascensor estación de bomberos Bellavista B-9 - SGC"/>
        <s v="Mantenimiento correctivo y preventivo con suministro de repuestos ascensor estación de bomberos Bellavista B-9 - SGC"/>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Adquirir máquinas de grabado láser para el plaqueteo y/o marcación de los bienes devolutivos de la UAECOB, con el fin de garantizar el correcto control del inventario mediante rótulos duraderos y resistentes-SGC"/>
        <s v="Prestación de servicios profesionales jurídicos en virtud de las funciones asignadas a la Dirección General de la UAECOB, para apoyar los procesos contractuales y actividades administrativas requeridas."/>
        <s v="Prestar servicios profesionales a la Dirección General en actividades de articulación interinstitucional entre las diferentes dependencias, entidades del sector, y demás que estén relacionadas con la misionalidad de la UAECOB."/>
        <s v="Prestar servicios profesionales especializados en el desarrollo de las actividades y de los diferentes procesos que tiene a su cargo y bajo su seguimiento la Dirección General de la UAE Cuerpo Oficial de Bomberos de Bogotá."/>
        <s v="Prestar servicios profesionales jurídicos en el desarrollo de las actividades y de los diferentes procesos de la Dirección General de la UAE Cuerpo Oficial de Bomberos de Bogotá"/>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Prestar servicios profesionales jurídicos en la Dirección General de la UAECOB en la revisión, gestión y seguimiento de temas a cargo de la dirección, contratación y estratégicos de la misionalidad de la Entidad"/>
        <s v="Prestar servicios de apoyo a la gestión en la UAECOB, en asuntos administrativos y asistenciales requeridos, especificamente en el seguimiento de la información."/>
        <s v="Prestar servicios profesionales en el desarrollo de los diferentes procesos que tiene a su cargo la Dirección General de la UAE Cuerpo Oficial de Bomberos de Bogotá."/>
        <s v="Prestar servicios como conductor a la UAECOB, para facilitar el transporte de recursos humanos y demás que le sean indicados en la Dirección General en concordancia al marco de sus funciones"/>
        <s v="Prestar servicios profesionales jurídicos en el desarrollo de las actividades estrategicas de la Dirección General de la UAE Cuerpo Oficial de Bomberos de Bogotá"/>
        <s v="Prestar servicios profesionales jurídicos en la Dirección General de la UAECOB en la revisión, gestión y seguimiento de temas de infraestructura, POT, plan maestro de equipamiento y procesos contractuales y estratégicos de la misionalidad de la Entidad"/>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Prestar servicios profesionales especializados en la Dirección General de la UAECOB en la organización y liderazgo de los asuntos relacionados con cooperación técnica internacional y articulación interinstitucional de conformidad a la misionalidad de la entidad."/>
        <s v="Prestación de servicios profesionales para gestionar las actividades de articulación interinstitucional, protocolo y demás que le sean indicados en la Dirección General en concordancia al marco de sus funciones"/>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Prestar servicios profesionales especializados en la Dirección General de la UAECOB en la organización y liderazgo de los asuntos relacionados con comunicaciones de conformidad a la misionalidad de la entidad."/>
        <s v="Prestar servicios de apoyo para la gestión en asuntos de comunicaciones y prensa en la Dirección General, y demás acciones encaminadas al cumplimiento de las estrategias comunicacionales de la UAECOB"/>
        <s v="Prestación de servicios profesionales en asuntos de comunicaciones y prensa para apoyar la divulgación y socialización de la información relacionada con la misionalidad de la UAECOB de manera interna y externa"/>
        <s v="Prestar servicios profesionales para apoyar el desarrollo de estrategias de la dirección general, en asuntos relacionados con comunicaciones y prensa, encaminadas al posicionamiento, imagen y divulgación corporativa de la entidad y dirigidas a sus públicos internos"/>
        <s v="Prestar servicios profesionales en la Dirección General para  el manejo de redes sociales de la entidad y apoyo periodistico requerido en el marco de la estrategia de comunicaciones y prensa de la UEACOB."/>
        <s v="Prestar servicios profesionales en la Dirección General para el manejo de redes sociales, divulgación, socialización de información y apoyo periodístico, requerido en el marco de la estrategia de comunicaciones y prensa de la UAECOB."/>
        <s v="Prestación de servicios profesionales para apoyar a la Dirección en la elaboración, diseño y diagramación de piezas requeridas para los planes, programas, proyectos y procedimientos"/>
        <s v="Prestar servicios profesionales en la Dirección, en asuntos de comunicaciones y prensa, para la producción, diseño y edición de material audiovisual de la UAECOB."/>
        <s v="Prestar servicios profesionales especializados a la Dirección General de la UAECOB en la construcción ,acompañamiento, seguimiento y fortalecimiento de las estrategias de comunicación que adelante la entidad dentro del Distrito Capital"/>
        <s v="Prestación de servicios profesionales en asuntos de comunicaciones y prensa para apoyar las labores de reportería, periodismo y de divulgación de información y campañas, de acuerdo con la misionalidad de la UAECOB"/>
        <s v="Prestar servicios profesionales en comunicación y prensa para apoyar la producción y difusión de contenidos periodísticos y audiovisuales de la UAECOB"/>
        <s v="Prestar servicios a la Dirección General en la conducción, traslado y movilización de personal, equipos y materiales, garantizando el cumplimiento de las operaciones logísticas y misionales del Cuerpo Oficial de Bomberos de Bogotá"/>
        <s v="Prestación de servicios profesionales en asuntos de comunicaciones y prensa para revisar los procesos de comunicación de entidad con el fin de evaluar su eficacia interna y externa y detectar ineficiencias en los canales de comunicación"/>
        <s v="Prestación de servicios como operador logístico, relacionados con la organización, administración y ejecución de las diferentes temáticas que fortalezcan la misionalidad de la entidad a través de la protección de la vida, el medio ambiente y el patrimonio"/>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Prestación de servicios profesionales en asuntos de comunicaciones y prensa para detectar las necesidades de la Entidad y facilitar la inserción de nuevas estrategias de comunicación"/>
        <s v="Prestar servicios de apoyo técnico en las herramientas tecnologicas para el desarrollo de las estrategias de la Subdirección  Logística-SBLG"/>
        <s v="Prestar servicios de apoyo a la gestión en las actividades de soporte operacional de la UAECOB Subdirección Logística. SBLG"/>
        <s v="Prestar servicios de apoyo a la gestión en actividades administrativas y documentales que se desarrollen en la Subdirección Logística – SBLG&quot;."/>
        <s v="Prestación de servicios de apoyo a la gestión para realizar actividades documentales, administrativas relacionadas para el desarrollo de las estrategias de la Subdirección Logística. SBLG"/>
        <s v="Prestar servicios de apoyo a la gestión en el manejo de las herramientas tecnológicas en diligenciamiento, seguimiento y control de las herramientas de gestión asociadas a la mesa logística de la Subdirección Logística. – SBLG"/>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Prestación de servicios profesionales para apoyar en el análisis de información, reportes, y seguimientos relacionados con la atención de emergencias de la entidad y de los programas a cargo de la Subdirección Operativa-S.O."/>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Adición y prórroga No. 1 al contrato 698 de 2025 que tiene como objeto “Prestar el servicio y mantenimiento de equipos de higienización, desodorización y aromatización para la UAECOB-SGC&quot;"/>
        <s v="Prestación de servicios profesionales para apoyar las actividades jurídicas de la Subdirección de Gestión Corporativa-SGC"/>
        <s v="Prestación de servicios profesionales, en temas jurídicos de la gestión administrativa a cargo de la Subdirección de Gestión Corporativa.- SGC"/>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Adición y prórroga No. 2 al contrato 597 de 2025  que tiene como objeto &quot; Contratar la prestación del servicio de aseo y cafetería incluido insumos para la UAE Cuerpo Oficial de Bomberos -SGC"/>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Suministro de banderas y accesorios para las sedes UAECOB-SGC"/>
        <s v="Prestar servicios profesionales para el registro, actualización y reporte de los procesos y decisiones disciplinarias expedidas por la Oficina de Control Disciplinario Interno de la UAECOB en el aplicativo Sistema de Información Disciplinario (SID) ."/>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Adición y prórroga al Contrato 460 de 2025 con objeto &quot;Prestar servicios profesionales especializados en el desarrollo de las actividades estrategicas de la Dirección General de la UAE Cuerpo Oficial de Bomberos de Bogotá&quot;"/>
        <s v="Adición y prórroga al Contrato 211 de 2025 con objeto &quot;Prestación de servicios profesionales en la Dirección en comunicaciones y prensa, para apoyar la difusión de la información al público interno y externo de la UAECOB&quot;"/>
        <s v="Adición y prórroga al Contrato 202 de 2025 con objeto &quot;Prestar servicios de apoyo para la gestión en asuntos de comunicaciones y prensa en la Dirección General, y demás acciones encaminadas al cumplimiento de las estrategias comunicacionales de la UAECOB&quot;"/>
        <s v="Adición y prórroga al Contrato 285 de 2025 con objeto &quot;Prestar apoyo técnico en la Dirección, en asuntos de comunicaciones y prensa, para la producción, diseño y edición de material audiovisual de la UAECOB&quot;"/>
        <s v="Adición y prórroga al Contrato 278 de 2025 con objeto &quot;Prestación de servicios como conductor en los diferentes recorridos de carácter operativo que se requieran en la Dirección General&quot;"/>
        <s v="Adición y prórroga al Contrato 356 de 2025 con objeto &quot;Prestación de servicios profesionales en asuntos de comunicaciones y prensa para apoyar la creación y divulgación audiovisual relacionada con la misionalidad de la UAECOB&quot;"/>
        <s v="Prestación de servicios de apoyo a la gestión en asuntos de comunicaciones y prensa para apoyar las labores de reportería, periodismo y de divulgación de información de acuerdo con la misionalidad de la UAECOB."/>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Prestar los servicios profesionales  en la Oficina de Control Interno para el desarrollo del Plan Anual de Auditorías."/>
        <s v="Prestar servicios de apoyo a la gestión en el desarrollo de las actividades y trámites administrativos y operativos relacionados con los procesos que se encuentran a cargo de la Subdirección Operativa de la UAECOB-SO."/>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Adquisición de equipos, herramientas y accesorios (E.H.A.) para la atención de emergencias de la UAE Cuerpo Oficial de Bomberos de Bogotá - S.O."/>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SGH - INCENTIVOS"/>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 Prestación de servicios de apoyo a la gestión en la Subdirección de Gestión Corporativa, en las actividades asociadas a los procesos y procedimientos del almacén de la Entidad.- SGC"/>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Prestación de servicios de apoyo para el desarrollo de las actividades y trámites administrativos y operativos relacionados con los procesos que se encuentran a cargo de la Subdirección Operativa-SO."/>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Prestar servicios profesionales para apoyar jurídicamente el seguimiento y la revisión de derechos de petición y demás requerimientos, así como en la revisión de documentación referida a procesos de contratación a cargo de la Subdirección Operativa S.O."/>
        <s v="Adición y prórroga al contrato No. 490 de 2025 cuyo objeto es: &quot;contratar el alquiler de equipos tecnológicos, periféricos y servicios complementarios para la U.A.E Cuerpo Oficial de bomberos de Bogota- TIC&quot;"/>
        <s v="Adición y prórroga al contrato No. 411 de 2025 cuyo objeto es: &quot;Contratar la prestación del servicio de monitoreo, control y seguimiento satelital a los vehículos de propiedad de la U.A.E. Cuerpo Oficial de Bomberos de Bogotá - TIC&quot;"/>
        <s v="Prestar servicio de apoyo a la gestión administrativa y operativa de los mantenimientos requeridos a los equipos menores y/o parque automotor de la Subdirección Logística - SBLG"/>
        <s v="Adición No. 1 al contrato 629 de 2025 que tiene como objeto “Prestar el servicio de vigilancia y seguridad privada en la modalidad de vigilancia fija, según especificaciones técnicas, en las instalaciones donde la UAE Especial Cuerpo Oficial de Bomberos requiera-SGC"/>
        <s v="Congelamiento recursos 5% proyecto 8126"/>
        <s v="Congelamiento recursos 5% proyecto 8173"/>
        <s v="SGH - Prestar servicios profesionales en la Subdirección de Gestión Humana, enfocados en el análisis de datos , estadística, gestión financiera  y apoyo a temas de proyección presupuestal en el marco de la estrategia de fortalecimiento institucional. "/>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Suministro de materiales, equipos y herramientas para el mejoramiento integral de las instalaciones para la Unidad Administrativa Especial Cuerpo Oficial de Bomberos Bogotá -SGC"/>
        <s v="Adición y prórroga No. 1 al contrato 466 de 2026 que tiene como objeto &quot; Contratar la prestación del servicio de aseo y cafetería incluido insumos para la Unidad Administrativa Especial Cuerpo Oficial de Bomberos Bogotá -SGC"/>
        <s v="SGH - Utilización lista de elegibles CNSC para provisión de vacantes"/>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Adición y prórroga al contrato 692 de 2025 cuyo objeto es: &quot;Brindar apoyo en temas propios de gestión documental de expedientes físicos y de soporte administrativo que se requieran en las actividades desplegadas por la Oficina Jurídica&quot;."/>
        <s v="Adición y prórroga al contrato 702 de 2025 cuyo objeto es: &quot;Prestar los servicios profesionales jurídicos especializados para apoyar el desarrollo de las funciones de la Oficina Jurídica&quot;"/>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Adición y prórroga al Contrato No. 363-2025 cuyo objeto es: Contratar los servicios de canales de datos dedicados para la UAE Cuerpo Oficial de Bomberos de Bogotá – TIC"/>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Pago pasivo contrato 815 de 2024 cuyo objeto es: &quot;Contratar el servicio de soporte y mantenimiento del sistema de control de acceso para los visitantes y los funcionarios de la U.A.E. Cuerpo Oficial Bomberos de Bogotá&quot;, Otro Si No. 01 de 2025."/>
        <s v="Adición No. 1 al contrato 709 de 2025 que tiene como objeto “Adquisicion de equipos electrodomésticos para las instalaciones de la UAE Cuerpo Oficial de Bomberos- SGC&quot;"/>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Adquisición de elementos de apoyo didáctico y pedagógico para actividades, programas y campañas requeridas en la Subdirección de Gestión del Riesgo_SGR”"/>
        <s v="Adición y prórroga 2 al contrato No. 411 de 2025 cuyo objeto es: &quot;Contratar la prestación del servicio de monitoreo, control y seguimiento satelital a los vehículos de propiedad de la U.A.E. Cuerpo Oficial de Bomberos de Bogotá - TIC&quot;"/>
        <s v="Adicion y prorroga al contrato 610-2025 cuyo objeto es: &quot;Suministro de alimentación e hidratación para el cuerpo operativo en la atención de emergencias, entrenamientos, capacitaciones y actividades de prevención.-SBLG&quot;"/>
        <s v="Adquisición de agente encapsulador, para apagar incendios de baterías de iones de litio-SBLG"/>
        <s v="Contratar el suministro de raciones para la atención de emergencias-SBLG"/>
        <s v="Adición No. 1 al contrato 766 de 2024 que tiene como objeto “Elaboración de estudios y diseños técnicos para la construcción de la estación de bomberos de Ferias B-7 de la UAE Cuerpo Oficial de Bomberos de Bogotá – SGC&quot;"/>
        <s v="Construcción de la estación  Ferias  B-7  UAE Cuerpo Oficial de Bomberos de Bogotá – SGC"/>
        <s v="Interventoría técnica, administrativa, financiera, contable, jurídica, ambiental  y de Seguridad y Salud en el Trabajo para la construcción de la estación de bomberos Ferias B7 UAE Cuerpo Oficial de Bomberos de Bogotá – SGC"/>
        <s v="Realizar la adecuación y mejoramiento de las instalaciones de La Unidad Administrativa Especial Cuerpo Oficial de Bomberos de Bogotá D.C. – SGC.C"/>
        <s v="Interventoría técnica, administrativa, financiera, contable, jurídica, ambiental y de Seguridad y Salud en el Trabajo para realizar la adecuación y mejoramiento de las instalaciones de La Unidad Administrativa Especial Cuerpo Oficial de Bomberos de Bogotá D.C. – SGC."/>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Reconocimiento y pago Pasivo Exigible FERIAS "/>
        <s v="Adición No. 1 al contrato 538 de 2025 que tiene como objeto “Realizar el mantenimiento preventivo, correctivo de puertas automatizadas para las salas de máquinas de las estaciones de la UAE Cuerpo Oficial de Bomberos-SGC"/>
        <s v="Adición y prorroga No. 1 al contrato 713 de 2025 que tiene como objeto “Adquisición de elementos de menaje para la UAECOB-SGC&quot;"/>
        <s v="Adquisición de semovientes caninos para el grupo BRAE, destinados al entrenamiento de búsqueda y localización cinotécnica   para la atención de emergencias de la UAE Cuerpo Oficial de Bomberos de Bogota, s.o."/>
        <s v="Adicion y prorroga al contrato 684-2025 cuyo objeto es: &quot;Suministro de herramientas especializadas, equipos, accesorios y otros elementos de ferretería para garantizar la preparación y atención de emergencias de la U.A.E. Cuerpo Oficial de Bomberos de Bogotá – SBLG&quot;."/>
        <s v="Prestación del servicio de mantenimiento preventivo y correctivo de los equipos de respiración autónoma interspiro propiedad de la UAECOB, incluido el suministro de repuestos, insumos mano de obra especializada –SBLG"/>
        <s v="Adición y prórroga del contrato 253-2025 cuyo objeto es: Contratar el servicio de soporte y mantenimiento del sistema de gestión documental para la UAE Cuerpo Oficial de Bomberos de Bogotá- TIC."/>
        <s v="Adición y prórroga del Contrato 202-2026 cuyo objeto es: Prestar servicios profesionales jurídicos para apoyar la instrucción y demás actuaciones que deban surtirse en los procesos disciplinarios adelantados por la Oficina de Control Disciplinario Interno."/>
        <s v="Contratar la adquisición, renovación y  suscripciones de licencia Microsoft y modulos de seguridad y vulnerabilidad para la U.A.E. Cuerpo Oficial de Bomberos de Bogotá - TIC"/>
        <s v="Contratar el servicio de actualización y soporte de licenciamiento ArcGIS para la U.A.E. Cuerpo Oficial de Bomberos de Bogotá.- TIC"/>
        <s v="Suministro de consumibles de impresión para el adecuado funcionamiento de las impresoras destinadas a cada una de las sedes de la UAE Cuerpo Oficial de Bomberos de Bogotá."/>
        <s v="Contratar la renovación de garantía y soporte de fabrica de los equipos activos que hacen parte de la infraestructura tecnológica de la U.A.E. Cuerpo Oficial de Bomberos de Bogotá."/>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Prestar los servicios de apoyo al proceso de comunicaciones en emergencias del centro de coordinación y comunicaciones (c.c.c.), para el desarrollo de los programas a cargo de la Subdirección Operativa-S.O."/>
        <s v="Prestación de servicios profesionales a la Subdirección Operativa,  en el componente jurídico, para el adecuado alcance de las metas e indicadores asignados, brindando plena aplicación a la normatividad vigente-S.O."/>
        <s v="Prestar los servicios de  apoyo para el proceso de comunicaciones en emergencias del centro de coordinación y comunicaciones (c.c.c.), para el desarrollo de los programas a cargo de la Subdirección Operativa-S.O."/>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Prestar los servicios de apoyo para el desarrollo de las actividades y trámites administrativos, relacionados con los procesos de la Subdirección Operativa-SO."/>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Adición y prórroga del Contrato 732-2025 cuyo objeto “Prestar el servicio de instalación, alineación, balanceo y conexos, incluyendo el suministro de llantas a los vehículos del parque automotor de la U.A.E. Cuerpo Oficial de Bomberos de Bogotá - SBLG.”"/>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Adición y prórroga al Contrato 678 de 2025 con objeto &quot;Prestación de servicios profesionales a la gestión en la Dirección para el acompañamiento en las labores administrativas en asuntos de comunicaciones y prensa de la UAECOB&quot;"/>
        <s v="Adición y Prórroga CONTRATO DE PRESTACION DE SERVICIOS 560 DE 2025 cuyo objeto es &quot;SGH -Contratar la realización de los exámenes Médicos Ocupacionales para el personal de la UAE Cuerpo Oficial de Bomberos de Bogotá&quot;"/>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Adición No. 1  prórroga No. 3 al contrato 703 de 2025 con objeto&quot; Adquisición de elementos para el fortalecimiento de la imagen institucional y la identidad visual de la UAECOB-SGC."/>
        <s v="Adición No. 1 prórroga No. 3 al contrato 721 de 2025 con objeto &quot;Adquisición de mobiliario y elementos para la dotación de las instalaciones de la UAE Cuerpo Oficial de Bomberos Bogotá- SGC."/>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Adquisición de herramientas, equipo y accesorios para el desarrollo de actividades de reduccion del riesgo adelantados por la Subdirección de Gestión del Riesgo_SGR"/>
        <s v="Contratar el servicio de soporte y mantenimiento del sistema de gestión documental  para la U.A.E. Cuerpo Oficial de Bomberos de Bogotá- TIC"/>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Prestar servicios de apoyo a la gestión para apoyar el seguimiento, fortalecimiento y mejora funcional de las herramientas misionales que sirven de soporte a los procesos y procedimientos de la U.A.E. Cuerpo Oficial de Bomberos de Bogotá."/>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Prestar servicios profesionales jurídicos al Área de Tecnologías de la Información y las Comunicaciones de la U.A.E. Cuerpo Oficial de Bomberos de Bogotá, para apoyar la planeación, revisión y gestión contractual de los procesos a cargo del área."/>
        <s v="Adición y prórroga al contrato 335 de 2026 cuyo objeto es: &quot;Prestar servicios profesionales para apoyar en la estructuración de las acciones de mejora, elaboración de informes y soporte de las funciones administrativas y de mejora&quot;"/>
        <s v="Adicion y prorroga cto 032-2026 Prestar servicios profesionales para apoyar la planeación y gestión de las  estrategias de reducción y/o conocimiento del riesgo  para la Subdirección de Gestión del Riesgo._SGR"/>
        <s v="Adicion y prorroga cto 167-2026  Prestar servicios profesionales en  los componentes tecnológicos e informáticos relacionados con los aspectos misionales de la Subdirección de Gestión del Riesgo._SGR"/>
        <s v="Adicion y prorroga cto 047-2026 Prestar servicios profesionales para la gestión misional  mediante la estructuración y seguimiento de procesos contractuales y asuntos jurídicos de la Subdirección de Gestión del Riesgo_SGR"/>
        <s v="Adicion y prorroga cto 350-2026 Prestar servicios profesionales para la gestión misional en sus componentes técnico, administrativo y financiero de la Subdirección de Gestión del Riesgo_SGR. "/>
        <s v="Adicion y prorroga cto 038-2026 Prestar servicios profesionales  liderando las actividades del proceso de inspecciones técnicas de la subdireccion de gestion del riesgo.._SGR"/>
        <s v="Adicion y prorroga cto 219-2026 Prestar  servicios profesionales en las actividades relacionadas con la emision de conceptos a cargo de la Subdirección de Gestión del Riesgo._SGR"/>
        <s v="Adicion y prorroga cto 104-2026 Prestar  servicios profesionales en las actividades relacionadas con la emision de conceptos a cargo de la Subdirección de Gestión del Riesgo._SGR"/>
        <s v="Adicion y prorroga cto 048-2026 Prestarservicios profesionales en las actividades relacionadas con la emision de conceptos a cargo de la Subdirección de Gestión del Riesgo._SGR"/>
        <s v="Adicion y prorroga cto 244-2026 Prestarservicios profesionales en las actividades relacionadas con la emision de conceptos a cargo de la Subdirección de Gestión del Riesgo._SGR"/>
        <s v="Adicion y prorroga cto 349-2026 Prestarservicios profesionales en las actividades relacionadas con la emision de conceptos a cargo de la Subdirección de Gestión del Riesgo._SGR"/>
        <s v="Adicion y prorroga cto 238-2026 Prestarservicios profesionales en las actividades relacionadas con la emision de conceptos a cargo de la Subdirección de Gestión del Riesgo._SGR"/>
        <s v="Adicion y prorroga cto 346-2026 Prestarservicios profesionales en las actividades relacionadas con la emision de conceptos a cargo de la Subdirección de Gestión del Riesgo._SGR"/>
        <s v="Adicion y prorroga cto 248-2026 Prestar  servicios de apoyo tecnico para realizar las inspecciones relacionadas con la emision de conceptos a cargo de la Subdirección de Gestión del Riesgo._SGR"/>
        <s v="Adicion y prorroga cto 106-2026 Prestar  servicios de apoyo tecnico para realizar las inspecciones relacionadas con la emision de conceptos a cargo de la Subdirección de Gestión del Riesgo._SGR"/>
        <s v="Adicion y prorroga cto 043-2026 Prestar  servicios de apoyo tecnico para realizar las inspecciones relacionadas con la emision de conceptos a cargo de la Subdirección de Gestión del Riesgo._SGR"/>
        <s v="Adicion y prorroga cto 274-2026 Prestar  servicios de apoyo tecnico para realizar las inspecciones relacionadas con la emision de conceptos a cargo de la Subdirección de Gestión del Riesgo._SGR"/>
        <s v="Adicion y prorroga cto 183-2026 Prestar  servicios de apoyo tecnico para realizar las inspecciones relacionadas con la emision de conceptos a cargo de la Subdirección de Gestión del Riesgo._SGR"/>
        <s v="Adicion y prorroga cto 184-2026 Prestar  servicios de apoyo tecnico para realizar las inspecciones relacionadas con la emision de conceptos a cargo de la Subdirección de Gestión del Riesgo._SGR"/>
        <s v="Adicion y prorroga cto 447-2026  Prestar  servicios de apoyo tecnico para realizar las inspecciones relacionadas con la emision de conceptos a cargo de la Subdirección de Gestión del Riesgo._SGR"/>
        <s v="Adicion y prorroga cto 441-2026 Prestar  servicios de apoyo tecnico para realizar las inspecciones relacionadas con la emision de conceptos a cargo de la Subdirección de Gestión del Riesgo._SGR"/>
        <s v="Adicion y prorroga cto 246-2026 Prestar servicios profesionales para la gestión misional  mediante la estructuración y seguimiento de procesos contractuales y asuntos jurídicos de la Subdirección de Gestión del Riesgo_SGR"/>
        <s v="Adicion y prorroga cto 376-2026 Prestar servicios profesionales en las actividades de monitoreo del riesgo para la Subdirección de Gestión del Riesgo._SGR"/>
        <s v=" Prestar servicios profesionales liderando las actividades de Programas y Campañas de Prevención para la Subdirección de Gestión del Riesgo._SGR"/>
        <s v="Adicion y prorroga cto 174-2026  Prestar servicios profesionales en las actividades de Programas y Campañas de Prevención para la Subdirección de Gestión del Riesgo._SGR"/>
        <s v="  Prestar  servicios profesionales  en las actividades de proyeccion e innovacion para la Subdirección de Gestión del Riesgo._SGR"/>
        <s v=" Prestar servicios de apoyo en las actividades de Programas y Campañas de Prevención para la Subdirección de Gestión del Riesgo. _SGR"/>
        <s v="Adicion y prorroga cto 187-2026 Prestar servicios profesionales en las actividades de monitoreo del riesgo para la Subdirección de Gestión del Riesgo._SGR"/>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Prestar servicios profesionales para apoyar al Jefe de la Oficina Asesora de Planeación en asuntos estratégicos de la gestión administrativa de la UAECOB."/>
        <s v="Adicion y prorroga cto 375-2026 Prestar servicios profesionales en los procesos de formacion y capacitacion de la subdirección de gestión del riesgo._SGR"/>
        <s v="Adicion y prorroga cto 237-2026 Prestar servicios profesionales en las actividades de identificacion y caracterizacion  de escenarios  de riesgos a cargo de la Subdirección de Gestión del Riesgo._SGR"/>
        <s v="Adicion y prorroga cto 352-2026Prestar servicios de apoyo en las actividades de Programas y Campañas de Prevención para la Subdirección de Gestión del Riesgo. _SGR"/>
        <s v="Adicion y prorroga cto 301-2026Prestar servicios de apoyo en las actividades de Programas y Campañas de Prevención para la Subdirección de Gestión del Riesgo. _SGR"/>
        <s v="Adicion y prorroga cto 046-2026 prestar servicios profesionales liderando las actividades de monitoreo del riesgo de la subdirecion  de gestión del riesgo_SGR"/>
        <s v="Adición y prorroga al contrato 596-2025 Cuyo objeto es: &quot;Contratar el suministro de alimentación para los caninos del cuerpo oficial y animales rescatados por la U.A.E. del Cuerpo Oficial de Bomberos de Bogotá –  SBLG&quot;"/>
        <s v="Adicion y prorroga 2 al contrato 610-2025 cuyo objeto es: &quot;Suministro de alimentación e hidratación para el cuerpo operativo en la atención de emergencias, entrenamientos, capacitaciones y actividades de prevención.-SBLG&quot;"/>
        <s v="Adición y prorroga al contrato 19-2026 cuyo objeto es: &quot;Prestar servicios profesionales de caracter tecnologico apoyando la estructuración, elaboración, manejo y optimización de las herramientas tecnológicas a cargo de la Subdirección Logística – SBLG.&quot;"/>
        <s v="Prestación de servicios profesionales en la Dirección en comunicaciones y prensa, para apoyar la difusión de la información al público interno y externo de la UAECOB."/>
        <s v="Prestación de servicios profesionales en asuntos de comunicaciones para realizar el cubrimiento periodístico, fotográfico y audiovisual de las actividades operativas y misionales de la UAECOB, así como la elaboración de contenidos informativos para su difusión."/>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Adición  CONTRATO DE PRESTACION DE SERVICIOS 458 DE 2026 cuyo objeto es &quot;SGH - Contratar la Prestación de Servicios para desarrollar el Plan de Bienestar de la UAE Cuerpo Oficial de Bomberos para la Vigencia 2026&quot;"/>
        <s v="SGH - Contratar los servicios de aplicación, análisis y entrega de resultados de la Batería de Riesgo Psicosocial, en cumplimiento de la Resolución 2764 de 2022 o normatividad vigente, a los funcionarios y contratistas de la UAE Cuerpo Oficial de Bomberos de Bogotá"/>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  Prestar servicios profesionales para el desarrollo de los contenidos graficos, piezas comunicativa y de imagen institucional para la Subdirección de Gestión del riesgo._SGR"/>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Adquisición de elementos de protección personal (E.P.P.) para la atención de emergencias de la UAE Cuerpo Oficial de Bomberos de Bogotá"/>
        <s v="Adicion y prorroga cto 281-2026 Prestar servicios de apoyo como conductor a las acciones misionales de la Subdirección de Gestión del Riesgo."/>
        <s v="Adicion y prorroga cto 243-2026 Prestar servicios de apoyo para el seguimiento y respuesta de requerimientos ciudadanos relacionados con la misionalidad de la Subdirección de Gestión del Riesgo_SGR"/>
        <s v="Adicion y prorroga cto  397-2026 Prestar servicios profesionales en las actividades de identificacion y caracterizacion  de escenarios  de riesgos a cargo de la Subdirección de Gestión del Riesgo._SGR"/>
        <s v="Adicion y prorroga cto  369-2026  Prestar servicios profesionales en las actividades de identificacion y caracterizacion  de escenarios  de riesgos a cargo de la Subdirección de Gestión del Riesgo._SGR"/>
        <s v="Adicion y prorroga cto  59-2026 Prestar servicios profesionales en las actividades de monitoreo del riesgo para la Subdirección de Gestión del Riesgo._SGR"/>
        <s v="Adicion y prorroga cto  179-2026 Prestar  servicios profesionales  en las actividades de proyeccion e innovacion para la Subdirección de Gestión del Riesgo._SGR"/>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Adiciòn y pròrroga al contrato 390 de 2026 cuyo objeto es: &quot;Prestar los servicios de apoyo para las gestiones administrativas requeridas en la Oficina Jurídica&quot;."/>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Prestar servicios profesionales jurídicos para orientar y apoyar los procesos de contratación gestionados en la entidad, en el marco de las actividades propias de la gestión contractual, con el objetivo de garantizar el cumplimiento de las necesidades de la UAECOB."/>
        <s v="Prestar los servicios profesionales para apoyar las actividades propias de la gestión contractual de la UAECOB, en función de las necesidades identificadas por la entidad y con el propósito de garantizar el cumplimiento de su misionalidad."/>
        <s v="Prestar servicios profesionales en materia administrativa,optimizando los procesos de la dependencia a través de la gestión de herramientas tecnológicas y documentales con las que se cuenten a la Subdirección Logística – SBLG."/>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Prestar servicios profesionales de carácter jurídico para apoyar y fortalecer la gestión institucional de la UAECOB, contribuyendo al desarrollo de las actividades propias de la entidad y al cumplimiento de sus metas, planes y programas."/>
        <s v="Prestar servicios profesionales jurídicos para apoyar el desarrollo de las actuaciones procesales y procedimentales de la UAECOB, contribuyendo al cumplimiento de las metas, planes, programas y proyectos institucionales."/>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Adicion y prorroga cto 304-2026 Prestar  servicios de apoyo tecnico para realizar las inspecciones relacionadas con la emision de conceptos a cargo de la Subdirección de Gestión del Riesgo._SGR"/>
        <s v="Adicion y prorroga cto 269-2026 Prestar servicios profesionales  liderando los procesos de formacion y capacitacion de la subdirección de gestión del riesgo._SGR"/>
        <s v="Adicion y prorroga cto  265-2026 Prestar servicios profesionales en las actividades de Programas y Campañas de Prevención para la Subdirección de Gestión del Riesgo._SGR"/>
        <s v=" Adicion y prorroga cto 216-2026 Prestar servicios profesionales liderando las actividades de identificacion y caracterizacion  de escenarios  de riesgos a cargo de la Subdirección de Gestión del Riesgo._SGR"/>
        <s v=" Adicion y prorroga cto  327-2026 Prestar  servicios de apoyo tecnico para realizar las inspecciones relacionadas con la emision de conceptos a cargo de la Subdirección de Gestión del Riesgo._SGR"/>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Adición y prórroga al contrato 210 de 2026 con objeto &quot;Prestación de servicios profesionales en asuntos de comunicaciones y prensa para detectar las necesidades de la Entidad y facilitar la inserción de nuevas estrategias de comunicación&quot;"/>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SGH - Prestar servicios profesionales para apoyar a la Subdirección de Gestión Humana en la ejecución del SG-SST y el seguimiento de los programas de vigilancia epidemiológica, como soporte estratégico de las competencias y procesos de formación y capacitación."/>
        <s v="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Adición al Contrato 732-2025 cuyo objeto “Prestar el servicio de instalación, alineación, balanceo y conexos, incluyendo el suministro de llantas a los vehículos del parque automotor de la U.A.E. Cuerpo Oficial de Bomberos de Bogotá - SBLG.”"/>
        <s v="Adicion y prorroga al contrato 261-2026 cuyo objeto es: &quot;Prestar servicios de apoyo técnico en las herramientas tecnologicas para el desarrollo de las estrategias de la Subdirección  Logística-SBLG&quot;"/>
        <s v="Adicion y prorroga al contrato 412-2026 cuyo objeto es: &quot;Prestar servicios de apoyo a la gestión en las actividades de soporte operacional para el desarrollo de las estrategías de la Subdirección Logística. SBLG&quot;"/>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Prestar servicios de apoyo a la gestión en la ejecución de labores administrativas, así como en la organización, custodia y gestión documental de los asuntos y procesos a cargo de La UAECOB"/>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Reconocimientos de gastos de alimentación y hospedaje por desplazamientos de contratistas"/>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Reconocimiento de gastos de alimentación y hospedaje por desplazamientos de contratistas de Direccción - Prensa"/>
        <s v="Prestación de servicios profesionales en la Dirección para el acompañamiento en las labores de gestión administrativa, en asuntos propios de comunicaciones y prensa de la UAECOB"/>
        <s v="Adición y prorroga al contrato 071-2026 cuyo objeto es: &quot;Prestar servicios de apoyo técnico en asuntos administrativos, financieros, documentales y emisión de informes para el desarrollo de las estrategías de la Subdireccion Logística-SBLG&quot;"/>
        <s v="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s v="Adición y prórroga al Contrato 181 de 2026 &quot;Prestación de servicios profesionales para gestionar las actividades de articulación interinstitucional, protocolo y demás que le sean indicados en la Dirección General en concordancia al marco de sus funciones&quot;"/>
        <s v="Prestar servicios profesionales para realizar acompañamiento juridico adelantados por la Subdirección Gestión Corporativa -SGC"/>
        <s v="Prestación de servicios de apoyo a la gestión para los procesos financieros y contables de la Subdirección de Gestión Corporativa de la Unidad.-SGC"/>
        <s v="Prestación de servicios de apoyo a la gestión en la Subdirección de Gestión Corporativa, en las actividades asociadas a los procesos y procedimientos del almacén de la Entidad.- SGC"/>
        <s v="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s v="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s v="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s v="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s v="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s v="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s v="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
        <s v="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s v="Prestar servicios profesionales en asuntos de comunicaciones y prensa orientadas a contribuir en las necesidades de la Entidad y facilitar la inserción de nuevas estrategias de comunicación"/>
        <s v="Prestar servicios profesionales jurídicos en la Dirección General de la UAECOB, para apoyar la gestión, revisión y seguimiento de temas de la dirección, contratación y estratégicos de la misionalidad de la Entidad"/>
        <s v="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s v="Adición y prorroga Cto XX-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s v="Adición y prorroga Cto XX-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s v="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s v="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s v="SGH - Prestar servicios profesionales jurídicos en la Subdirección de Gestión Humana, apoyando las gestiones legales y administrativas relacionadas con los procesos de nómina y recobro de incapacidades."/>
        <s v="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s v="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s v="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s v="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s v="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s v="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s v="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
        <s v="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s v="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s v="Adición y prórroga del Contrato 245-2026 cuyo objeto es: Prestar servicios profesionales jurídicos para apoyar la instrucción y demás actuaciones que deban surtirse en los procesos disciplinarios adelantados por la Oficina de Control Disciplinario Interno."/>
        <s v="Adición y prórroga del Contrato 200-2026 cuyo objeto es: Prestar servicios profesionales jurídicos para apoyar la instrucción y demás actuaciones que deban surtirse en los procesos disciplinarios adelantados por la Oficina de Control Disciplinario Interno. "/>
        <s v="Adición y prórroga del Contrato 145-2026 cuyo objeto es: Prestar servicios profesionales jurídicos para apoyar la instrucción y demás actuaciones que deban surtirse en los procesos disciplinarios adelantados por la Oficina de Control Disciplinario Interno."/>
        <s v="Adición y prórroga del Contrato 199-2026 cuyo objeto es: Prestar servicios profesionales jurídicos para apoyar la instrucción y demás actuaciones que deban surtirse en los procesos disciplinarios adelantados por la Oficina de Control Disciplinario Interno."/>
        <s v="Adición y prórroga del Contrato 558-2026 cuyo objeto es: Prestar servicios profesionales jurídicos para apoyar la instrucción y demás actuaciones que deban surtirse en los procesos disciplinarios adelantados por la Oficina de Control Disciplinario Interno."/>
        <s v="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s v="Adición y prórroga del Contrato 203-2026 cuyo objeto es: Prestación de servicios de apoyo técnico a la Oficina de Control Disciplinario Interno de la UAECOB para la gestión y cumplimiento de las funciones administrativas asignadas."/>
        <s v="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s v="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s v="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s v="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s v="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s v="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s v="prestación de servicios profesionales para ejecutar el componente de información geográfica, georreferenciación y generación de alertas mediante las herramientas, sistemas de información y recursos disponibles y a cargo de la Subdirección Operativa-S.O."/>
        <s v="Prestación de servicios profesionales jurídicos para realizar el seguimiento y control de las actividades relacionadas con procesos contractuales, para el acompañamiento de los programas y metas de la Subdirección Operativa-S.O."/>
        <s v="Prestación de servicios profesionales para gestionar actividades de articulación con las alcaldías locales del distrito para la optimización de procesos operativos, para el desarrollo de los programas de la Subdirección Operativa-S.O."/>
        <s v="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s v="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s v="Prestación de servicios profesionales para apoyar jurídicamente los proyectos, procesos y procedimientos, para el desarrollo de los programas de la Subdirección Operativa-S.O"/>
        <s v="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s v="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s v="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s v="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s v="Adicion  y proroga cto  107-2026 Prestar servicios apoyo técnico para el desarrollo de los contenidos graficos, piezas comunicativa y de imagen institucional para la Subdirección de Gestión del riesgo._SGR"/>
      </sharedItems>
    </cacheField>
    <cacheField name="Modalidad de Selección" numFmtId="0">
      <sharedItems/>
    </cacheField>
    <cacheField name="tipo de Contrato (TH talento humano - B/S bienes y/o servicios)" numFmtId="0">
      <sharedItems count="2">
        <s v="TH"/>
        <s v="BS"/>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123"/>
    </cacheField>
    <cacheField name="Valor apropiacion vigencia actual" numFmtId="164">
      <sharedItems containsSemiMixedTypes="0" containsString="0" containsNumb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count="22" longText="1">
        <s v="8126 5-Desarrollar el 100% de las acciones asociadas al fortalecimiento de la infraestructura tecnológica y de comunicaciones de la UAECOB"/>
        <s v="8126 4-Administrar, soportar y mantener el 100% del servicio de Herramientas de Colaboración y sistemas de información."/>
        <s v="8126 7-Actualizar e implementar el 100% del Plan Anual de Seguridad y Privacidad de la Información."/>
        <s v="8126 6-Formular e Implementar 1 Plan Estratégico de Tecnologías de la Información y Transformación Digital de la UAECOB."/>
        <s v="No aplica"/>
        <s v="8126 1-Implementar el 100% de las actividades de seguimiento y control de los requisitos y directrices de las políticas del Modelo integrado de Planeación y Gestión - MIPG"/>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3-Implementar el 100% de los sistemas y modelos de gestión que defina la UAECOB en el marco del MIPG"/>
        <s v="8126 9-Fortalecer el 100% de la gestión administrativa de las áreas de apoyo al cumplimiento de la misionalidad de la UAECOB"/>
        <s v="8173 9-Implementar el 100% del programa de capacitación, formación y entrenamiento al personal uniformado de la Unidad Administrativa Cuerpo Oficial de Bomberos de Bogotá."/>
        <s v="8173 4-Desarrollar 3 estrategias para el fortalecimiento de la logistica en la atención de emergencias. "/>
        <s v="8173 2-Desarrollar un programa de renovación de equipos, herramientas, accesorios y elementos de protección personal en la UAECOB."/>
        <s v="8173 3-Desarrollar un programa de renovación de vehículos de la Unidad Administrativa Cuerpo Oficial de Bomberos de Bogotá."/>
        <s v="8173 1-Implementación 6 estrategias de reducción del riesgo de incendios,  incidentes con materiales peligrosos y rescate en todas sus modalidades en la ciudad de Bogotá"/>
        <s v="8173 6-Implementar un sistema de monitoreo y seguimiento a incidentes y emergencias para Bogotá, incluyendo cerros orientales"/>
        <s v="8173 5-Realizar 3 Estrategias de Investigación, desarrollo e innovación en gestión del riesgo"/>
        <s v="8126 8-Implementar el 100% del programa de mantenimiento a las sedes de Bomberos de Bogotá"/>
        <s v="8173 7-Adecuar 4 Sedes de la UAECOB"/>
        <s v="8173 8-Construir 1 sede de bomberos de la UAECOB"/>
        <s v="8173 10-Realizar 2 documentos de lineamientos técnicos para la construcción de estaciones de bomberos"/>
        <s v="8173 11-Gestionar el 100% de las necesidades de bienes y servicios a la infraestructura en funcionamiento"/>
        <s v="8126 10-Formular e Implementar una estrategia de comunicaciones en lo relacionado con la divulgación de estrategias, programas, proyectos y servicios a los grupos de interés, de la UAECOB"/>
      </sharedItems>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8">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 v="   N/AN/A"/>
      </sharedItems>
    </cacheField>
    <cacheField name="codigo PEP" numFmtId="0">
      <sharedItems count="18">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 v=" "/>
      </sharedItems>
    </cacheField>
    <cacheField name="POSPRE" numFmtId="164">
      <sharedItems count="38">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 v="O232020200663111 Servicios de alojamiento en hotele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303.656779745368" createdVersion="8" refreshedVersion="8" minRefreshableVersion="3" recordCount="1025" xr:uid="{7A2EF678-742A-4E39-8FEB-7465D1EAB881}">
  <cacheSource type="worksheet">
    <worksheetSource name="PAA"/>
  </cacheSource>
  <cacheFields count="34">
    <cacheField name="Id Interno" numFmtId="0">
      <sharedItems containsSemiMixedTypes="0" containsString="0" containsNumber="1" containsInteger="1" minValue="20260001" maxValue="20261105"/>
    </cacheField>
    <cacheField name="Objeto de la contratación" numFmtId="0">
      <sharedItems longText="1"/>
    </cacheField>
    <cacheField name="Modalidad de Selección" numFmtId="0">
      <sharedItems/>
    </cacheField>
    <cacheField name="tipo de Contrato (TH talento humano - B/S bienes y/o servicios)" numFmtId="0">
      <sharedItems containsBlank="1" count="3">
        <s v="TH"/>
        <s v="BS"/>
        <m u="1"/>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123"/>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acheField>
    <cacheField name="Responsable del Proceso" numFmtId="0">
      <sharedItems/>
    </cacheField>
    <cacheField name="Proyecto y nombre Asociado" numFmtId="0">
      <sharedItems containsBlank="1" count="5">
        <s v="8126-Fortalecimiento institucional de la UAECOB para un gobierno confiable Bogotá D.C."/>
        <s v="131- Funcionamiento"/>
        <s v="8173-Modernización de las capacidades del Cuerpo Oficial de Bomberos Bogotá D.C."/>
        <s v="N/A"/>
        <m u="1"/>
      </sharedItems>
    </cacheField>
    <cacheField name="Gerente del Proyecto Asociado" numFmtId="0">
      <sharedItems/>
    </cacheField>
    <cacheField name="Fuente de Recursos" numFmtId="0">
      <sharedItems containsBlank="1" count="7">
        <s v="1-100-I087 VA-Sobretasa Bomberil"/>
        <s v="1-100-F001 VA-Recursos distrito"/>
        <s v="1-601-I037 PAS-Crédito"/>
        <s v="1-100-F039-VA-Crédito"/>
        <s v="N/A"/>
        <s v="1-601-F001 PAS-Otros distrito"/>
        <m u="1"/>
      </sharedItems>
    </cacheField>
    <cacheField name="Código UNSPSC (cada código separado por ;)" numFmtId="1">
      <sharedItems containsMixedTypes="1" containsNumber="1" containsInteger="1" minValue="10101500" maxValue="90121800" longText="1"/>
    </cacheField>
    <cacheField name="Meta Proyecto de Inversión" numFmtId="0">
      <sharedItems longText="1"/>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acheField>
    <cacheField name="codigo PEP" numFmtId="0">
      <sharedItems/>
    </cacheField>
    <cacheField name="POSPRE" numFmtId="164">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3">
  <r>
    <x v="0"/>
    <x v="0"/>
    <s v="09 - contratación directa"/>
    <x v="0"/>
    <s v="25 - contrato de prestacion de servicios profesionales"/>
    <s v="ENERO"/>
    <n v="11"/>
    <n v="0"/>
    <n v="119999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x v="1"/>
    <x v="1"/>
    <s v="09 - contratación directa"/>
    <x v="0"/>
    <s v="25 - contrato de prestacion de servicios profesionales"/>
    <s v="ENERO"/>
    <n v="6"/>
    <n v="0"/>
    <n v="45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x v="2"/>
    <x v="2"/>
    <s v="09 - contratación directa"/>
    <x v="0"/>
    <s v="25 - contrato de prestacion de servicios profesionales"/>
    <s v="ENERO"/>
    <n v="6"/>
    <n v="0"/>
    <n v="33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x v="3"/>
    <x v="3"/>
    <s v="09 - contratación directa"/>
    <x v="0"/>
    <s v="25 - contrato de prestacion de servicios profesionales"/>
    <s v="ENERO"/>
    <n v="6"/>
    <n v="0"/>
    <n v="57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x v="4"/>
    <x v="4"/>
    <s v="09 - contratación directa"/>
    <x v="0"/>
    <s v="25 - contrato de prestacion de servicios profesionales"/>
    <s v="ENERO"/>
    <n v="12"/>
    <n v="0"/>
    <n v="936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x v="5"/>
    <x v="5"/>
    <s v="09 - contratación directa"/>
    <x v="0"/>
    <s v="25 - contrato de prestacion de servicios profesionales"/>
    <s v="EN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6"/>
    <x v="6"/>
    <s v="09 - contratación directa"/>
    <x v="0"/>
    <s v="25 - contrato de prestacion de servicios profesionales"/>
    <s v="ENERO"/>
    <n v="11"/>
    <n v="0"/>
    <n v="60500000"/>
    <s v="NO"/>
    <x v="0"/>
    <s v="Paula Ximena Henao Escobar"/>
    <x v="0"/>
    <s v="Subdirector@ de Gestión Corporativa"/>
    <x v="0"/>
    <s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x v="7"/>
    <x v="7"/>
    <s v="09 - contratación directa"/>
    <x v="0"/>
    <s v="26 - contrato de prestacion de servicios de apoyo a la gestion"/>
    <s v="FEBRERO"/>
    <n v="10"/>
    <n v="0"/>
    <n v="40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x v="8"/>
    <x v="7"/>
    <s v="09 - contratación directa"/>
    <x v="0"/>
    <s v="26 - contrato de prestacion de servicios de apoyo a la gestion"/>
    <s v="ENERO"/>
    <n v="6"/>
    <n v="0"/>
    <n v="24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x v="9"/>
    <x v="8"/>
    <s v="09 - contratación directa"/>
    <x v="0"/>
    <s v="25 - contrato de prestacion de servicios profesionales"/>
    <s v="ENERO"/>
    <n v="12"/>
    <n v="0"/>
    <n v="84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x v="10"/>
    <x v="9"/>
    <s v="09 - contratación directa"/>
    <x v="0"/>
    <s v="25 - contrato de prestacion de servicios profesionales"/>
    <s v="FEBRERO"/>
    <n v="10"/>
    <n v="0"/>
    <n v="78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x v="11"/>
    <x v="10"/>
    <s v="09 - contratación directa"/>
    <x v="0"/>
    <s v="25 - contrato de prestacion de servicios profesionales"/>
    <s v="ENERO"/>
    <n v="12"/>
    <n v="0"/>
    <n v="6192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x v="12"/>
    <x v="11"/>
    <s v="09 - contratación directa"/>
    <x v="0"/>
    <s v="25 - contrato de prestacion de servicios profesionales"/>
    <s v="FEBRERO"/>
    <n v="6"/>
    <n v="0"/>
    <n v="42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13"/>
    <x v="12"/>
    <s v="09 - contratación directa"/>
    <x v="0"/>
    <s v="26 - contrato de prestacion de servicios de apoyo a la gestion"/>
    <s v="ENERO"/>
    <n v="6"/>
    <n v="0"/>
    <n v="2694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x v="14"/>
    <x v="7"/>
    <s v="09 - contratación directa"/>
    <x v="0"/>
    <s v="26 - contrato de prestacion de servicios de apoyo a la gestion"/>
    <s v="ENERO"/>
    <n v="11"/>
    <n v="0"/>
    <n v="44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x v="15"/>
    <x v="13"/>
    <s v="09 - contratación directa"/>
    <x v="0"/>
    <s v="26 - contrato de prestacion de servicios de apoyo a la gestion"/>
    <s v="ENERO"/>
    <n v="11"/>
    <n v="0"/>
    <n v="44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x v="16"/>
    <x v="14"/>
    <s v="09 - contratación directa"/>
    <x v="0"/>
    <s v="25 - contrato de prestacion de servicios profesionales"/>
    <s v="ENERO"/>
    <n v="10"/>
    <n v="0"/>
    <n v="78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x v="17"/>
    <x v="15"/>
    <s v="09 - contratación directa"/>
    <x v="0"/>
    <s v="25 - contrato de prestacion de servicios profesionales"/>
    <s v="ENERO"/>
    <n v="10"/>
    <n v="0"/>
    <n v="49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x v="18"/>
    <x v="11"/>
    <s v="09 - contratación directa"/>
    <x v="0"/>
    <s v="25 - contrato de prestacion de servicios profesionales"/>
    <s v="FEBRERO"/>
    <n v="6"/>
    <n v="0"/>
    <n v="42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19"/>
    <x v="16"/>
    <s v="09 - contratación directa"/>
    <x v="0"/>
    <s v="25 - contrato de prestacion de servicios profesionales"/>
    <s v="FEBR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x v="20"/>
    <x v="17"/>
    <s v="09 - contratación directa"/>
    <x v="0"/>
    <s v="25 - contrato de prestacion de servicios profesionales"/>
    <s v="FEBRERO"/>
    <n v="10"/>
    <n v="0"/>
    <n v="55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x v="21"/>
    <x v="18"/>
    <s v="09 - contratación directa"/>
    <x v="0"/>
    <s v="25 - contrato de prestacion de servicios profesionales"/>
    <s v="FEBRERO"/>
    <n v="6"/>
    <n v="0"/>
    <n v="30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x v="22"/>
    <x v="19"/>
    <s v="09 - contratación directa"/>
    <x v="0"/>
    <s v="26 - contrato de prestacion de servicios de apoyo a la gestion"/>
    <s v="ENERO"/>
    <n v="10"/>
    <n v="0"/>
    <n v="40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x v="23"/>
    <x v="20"/>
    <s v="09 - contratación directa"/>
    <x v="0"/>
    <s v="25 - contrato de prestacion de servicios profesionales"/>
    <s v="FEBRERO"/>
    <n v="6"/>
    <n v="0"/>
    <n v="30966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x v="24"/>
    <x v="5"/>
    <s v="09 - contratación directa"/>
    <x v="0"/>
    <s v="25 - contrato de prestacion de servicios profesionales"/>
    <s v="ENERO"/>
    <n v="10"/>
    <n v="0"/>
    <n v="78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25"/>
    <x v="21"/>
    <s v="09 - contratación directa"/>
    <x v="0"/>
    <s v="25 - contrato de prestacion de servicios profesionales"/>
    <s v="ENERO"/>
    <n v="10"/>
    <n v="0"/>
    <n v="745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x v="26"/>
    <x v="22"/>
    <s v="09 - contratación directa"/>
    <x v="0"/>
    <s v="25 - contrato de prestacion de servicios profesionales"/>
    <s v="DICIEMBRE"/>
    <n v="0"/>
    <n v="15"/>
    <n v="924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x v="27"/>
    <x v="5"/>
    <s v="09 - contratación directa"/>
    <x v="0"/>
    <s v="25 - contrato de prestacion de servicios profesionales"/>
    <s v="ENERO"/>
    <n v="11"/>
    <n v="0"/>
    <n v="858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28"/>
    <x v="23"/>
    <s v="09 - contratación directa"/>
    <x v="0"/>
    <s v="25 - contrato de prestacion de servicios profesionales"/>
    <s v="ENERO"/>
    <n v="10"/>
    <n v="0"/>
    <n v="5161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x v="29"/>
    <x v="24"/>
    <s v="09 - contratación directa"/>
    <x v="0"/>
    <s v="25 - contrato de prestacion de servicios profesionales"/>
    <s v="ENERO"/>
    <n v="10"/>
    <n v="0"/>
    <n v="55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x v="30"/>
    <x v="25"/>
    <s v="09 - contratación directa"/>
    <x v="0"/>
    <s v="25 - contrato de prestacion de servicios profesionales"/>
    <s v="ENERO"/>
    <n v="10"/>
    <n v="0"/>
    <n v="750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x v="31"/>
    <x v="26"/>
    <s v="03 - selec. abrev. subasta inversa"/>
    <x v="1"/>
    <s v="03 - contrato de prestacion de servicios"/>
    <s v="MAYO"/>
    <n v="9"/>
    <n v="0"/>
    <n v="21336000"/>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x v="32"/>
    <x v="27"/>
    <s v="02 - selec. abrev. menor cuantía"/>
    <x v="1"/>
    <s v="03 - contrato de prestacion de servicios"/>
    <s v="OCTUBRE"/>
    <n v="6"/>
    <n v="0"/>
    <n v="121002500"/>
    <s v="NO"/>
    <x v="0"/>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x v="33"/>
    <x v="28"/>
    <s v="09 - contratación directa"/>
    <x v="1"/>
    <s v="16 - contrato de suministro de servicios"/>
    <s v="JUNIO"/>
    <n v="12"/>
    <n v="0"/>
    <n v="0"/>
    <s v="NO"/>
    <x v="0"/>
    <s v="Paula Ximena Henao Escobar"/>
    <x v="0"/>
    <s v="Subdirector@ de Gestión Corporativa"/>
    <x v="0"/>
    <s v="43212100; 43233400; 4321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x v="34"/>
    <x v="29"/>
    <s v="17 - acuerdo marco de precios"/>
    <x v="1"/>
    <s v="24 - contrato de servicio"/>
    <s v="JUNIO"/>
    <n v="12"/>
    <n v="0"/>
    <n v="47916600"/>
    <s v="NO"/>
    <x v="0"/>
    <s v="Paula Ximena Henao Escobar"/>
    <x v="0"/>
    <s v="Subdirector@ de Gestión Corporativa"/>
    <x v="0"/>
    <s v="43211500, 43211503, 43211507, 43211509, 43211619"/>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x v="35"/>
    <x v="30"/>
    <s v="09 - contratación directa"/>
    <x v="1"/>
    <s v="03 - contrato de prestacion de servicios"/>
    <s v="MARZO"/>
    <n v="12"/>
    <n v="0"/>
    <n v="100000000"/>
    <s v="NO"/>
    <x v="0"/>
    <s v="Paula Ximena Henao Escobar"/>
    <x v="0"/>
    <s v="Subdirector@ de Gestión Corporativa"/>
    <x v="0"/>
    <s v="72151607;72103302"/>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x v="36"/>
    <x v="31"/>
    <s v="03 - selec. abrev. subasta inversa"/>
    <x v="1"/>
    <s v="03 - contrato de prestacion de servicios"/>
    <s v="MARZO"/>
    <n v="12"/>
    <n v="0"/>
    <n v="100000000"/>
    <s v="NO"/>
    <x v="0"/>
    <s v="Paula Ximena Henao Escobar"/>
    <x v="0"/>
    <s v="Subdirector@ de Gestión Corporativa"/>
    <x v="0"/>
    <s v="72151500; 72101500; 731521000; 39121600; 39121000; 72151500; 72101500; 731521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x v="37"/>
    <x v="32"/>
    <s v="09 - contratación directa"/>
    <x v="1"/>
    <s v="24 - contrato de servicio"/>
    <s v="ENERO"/>
    <n v="12"/>
    <n v="0"/>
    <n v="19444600"/>
    <s v="NO"/>
    <x v="0"/>
    <s v="Paula Ximena Henao Escobar"/>
    <x v="0"/>
    <s v="Subdirector@ de Gestión Corporativa"/>
    <x v="0"/>
    <s v="81112200;81112201"/>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x v="38"/>
    <x v="33"/>
    <s v="02 - selec. abrev. menor cuantía"/>
    <x v="1"/>
    <s v="03 - contrato de prestacion de servicios"/>
    <s v="JUNIO"/>
    <n v="12"/>
    <n v="0"/>
    <n v="229063100"/>
    <s v="NO"/>
    <x v="0"/>
    <s v=" Paula Ximena Henao Escobar "/>
    <x v="0"/>
    <s v="Subdirector@ de Gestión Corporativa"/>
    <x v="0"/>
    <s v="45111700; 45111500; 45111900; 52161500; 43211900;43233400; 72151600; 81111500; 811617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x v="39"/>
    <x v="34"/>
    <s v="17 - acuerdo marco de precios"/>
    <x v="1"/>
    <s v="19 - contrato de renovacion de licencias"/>
    <s v="SEPTIEMBRE"/>
    <n v="12"/>
    <n v="0"/>
    <n v="50000000"/>
    <s v="NO"/>
    <x v="0"/>
    <s v="Paula Ximena Henao Escobar"/>
    <x v="1"/>
    <s v="Subdirector@ de Gestión Corporativa"/>
    <x v="1"/>
    <s v="81112501;43232102;43232103;43231512"/>
    <x v="4"/>
    <s v="No a"/>
    <s v="li"/>
    <s v="NA"/>
    <s v="NA"/>
    <s v="NA"/>
    <s v="N/A"/>
    <s v="N/A"/>
    <s v="N/A-N/A"/>
    <s v="N/A"/>
    <s v="N/A"/>
    <s v="N/A_N/A"/>
    <s v="N/A-N/A N/A_N/A"/>
    <x v="1"/>
    <x v="1"/>
    <x v="3"/>
    <s v="Si Secop "/>
    <s v="20260052-BS-No a-li-Contratar  la suscripción de licencias Suite Adobe para la UAE Cuerpo Oficial de Bomberos de Bogotá-TIC"/>
  </r>
  <r>
    <x v="40"/>
    <x v="35"/>
    <s v="09 - contratación directa"/>
    <x v="1"/>
    <s v="02 - contratos interadministrativos"/>
    <s v="JULIO"/>
    <n v="8"/>
    <n v="0"/>
    <n v="417396955"/>
    <s v="NO"/>
    <x v="0"/>
    <s v="Paula Ximena Henao Escobar"/>
    <x v="1"/>
    <s v="Subdirector@ de Gestión Corporativa"/>
    <x v="1"/>
    <n v="81112100"/>
    <x v="4"/>
    <s v="No a"/>
    <s v="li"/>
    <s v="NA"/>
    <s v="NA"/>
    <s v="NA"/>
    <s v="N/A"/>
    <s v="N/A"/>
    <s v="N/A-N/A"/>
    <s v="N/A"/>
    <s v="N/A"/>
    <s v="N/A_N/A"/>
    <s v="N/A-N/A N/A_N/A"/>
    <x v="1"/>
    <x v="1"/>
    <x v="4"/>
    <s v="Si Secop "/>
    <s v="20260053-BS-No a-li-Contratar la prestación de servicios de enlaces de datos dedicados principales y de Backup para el fortalecimiento de la infraestructura tecnológica de la UAE cuerpo oficial de bomberos de Bogotá - TIC"/>
  </r>
  <r>
    <x v="41"/>
    <x v="36"/>
    <s v="03 - selec. abrev. subasta inversa"/>
    <x v="1"/>
    <s v="27 - contrato de prestacion de servicios de mantenimiento"/>
    <s v="ABRIL"/>
    <n v="12"/>
    <n v="0"/>
    <n v="87755358"/>
    <s v="NO"/>
    <x v="0"/>
    <s v="Paula Ximena Henao Escobar"/>
    <x v="1"/>
    <s v="Subdirector@ de Gestión Corporativa"/>
    <x v="1"/>
    <s v="81111811;72151600; 43223300;_x000a_39131700"/>
    <x v="4"/>
    <s v="No a"/>
    <s v="li"/>
    <s v="NA"/>
    <s v="NA"/>
    <s v="NA"/>
    <s v="N/A"/>
    <s v="N/A"/>
    <s v="N/A-N/A"/>
    <s v="N/A"/>
    <s v="N/A"/>
    <s v="N/A_N/A"/>
    <s v="N/A-N/A N/A_N/A"/>
    <x v="1"/>
    <x v="1"/>
    <x v="5"/>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x v="42"/>
    <x v="37"/>
    <s v="03 - selec. abrev. subasta inversa"/>
    <x v="1"/>
    <s v="24 - contrato de servicio"/>
    <s v="JUNIO"/>
    <n v="12"/>
    <n v="0"/>
    <n v="100000000"/>
    <s v="NO"/>
    <x v="0"/>
    <s v="Paula Ximena Henao Escobar"/>
    <x v="1"/>
    <s v="Subdirector@ de Gestión Corporativa"/>
    <x v="1"/>
    <s v="43233200; 72151700;  43233200; 81112200; 72151700; 45121600"/>
    <x v="4"/>
    <s v="No a"/>
    <s v="li"/>
    <s v="NA"/>
    <s v="NA"/>
    <s v="NA"/>
    <s v="N/A"/>
    <s v="N/A"/>
    <s v="N/A-N/A"/>
    <s v="N/A"/>
    <s v="N/A"/>
    <s v="N/A_N/A"/>
    <s v="N/A-N/A N/A_N/A"/>
    <x v="1"/>
    <x v="1"/>
    <x v="6"/>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x v="43"/>
    <x v="38"/>
    <s v="04 - contratación mínima cuantía"/>
    <x v="1"/>
    <s v="19 - contrato de renovacion de licencias"/>
    <s v="MARZO"/>
    <n v="12"/>
    <n v="0"/>
    <n v="785000"/>
    <s v="NO"/>
    <x v="0"/>
    <s v="Paula Ximena Henao Escobar"/>
    <x v="1"/>
    <s v="Subdirector@ de Gestión Corporativa"/>
    <x v="1"/>
    <n v="43233205"/>
    <x v="4"/>
    <s v="No a"/>
    <s v="li"/>
    <s v="NA"/>
    <s v="NA"/>
    <s v="NA"/>
    <s v="N/A"/>
    <s v="N/A"/>
    <s v="N/A-N/A"/>
    <s v="N/A"/>
    <s v="N/A"/>
    <s v="N/A_N/A"/>
    <s v="N/A-N/A N/A_N/A"/>
    <x v="1"/>
    <x v="1"/>
    <x v="6"/>
    <s v="Si Secop "/>
    <s v="20260056-BS-No a-li-Contratar la adquisición de firma digital (token) para la U.A.E. Cuerpo Oficial de Bomberos de Bogotá - TIC"/>
  </r>
  <r>
    <x v="44"/>
    <x v="39"/>
    <s v="09 - contratación directa"/>
    <x v="0"/>
    <s v="26 - contrato de prestacion de servicios de apoyo a la gestion"/>
    <s v="ENERO"/>
    <n v="12"/>
    <n v="0"/>
    <n v="45042216"/>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x v="45"/>
    <x v="40"/>
    <s v="09 - contratación directa"/>
    <x v="0"/>
    <s v="25 - contrato de prestacion de servicios profesionales"/>
    <s v="ENERO"/>
    <n v="6"/>
    <n v="0"/>
    <n v="39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x v="46"/>
    <x v="41"/>
    <s v="09 - contratación directa"/>
    <x v="0"/>
    <s v="26 - contrato de prestacion de servicios de apoyo a la gestion"/>
    <s v="ENERO"/>
    <n v="12"/>
    <n v="0"/>
    <n v="53889792"/>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x v="47"/>
    <x v="42"/>
    <s v="09 - contratación directa"/>
    <x v="0"/>
    <s v="25 - contrato de prestacion de servicios profesionales"/>
    <s v="ENERO"/>
    <n v="11"/>
    <n v="0"/>
    <n v="110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x v="48"/>
    <x v="43"/>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x v="49"/>
    <x v="44"/>
    <s v="09 - contratación directa"/>
    <x v="0"/>
    <s v="25 - contrato de prestacion de servicios profesionales"/>
    <s v="ENERO"/>
    <n v="12"/>
    <n v="0"/>
    <n v="9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x v="50"/>
    <x v="45"/>
    <s v="09 - contratación directa"/>
    <x v="0"/>
    <s v="25 - contrato de prestacion de servicios profesionales"/>
    <s v="ENERO"/>
    <n v="12"/>
    <n v="0"/>
    <n v="10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x v="51"/>
    <x v="46"/>
    <s v="09 - contratación directa"/>
    <x v="0"/>
    <s v="25 - contrato de prestacion de servicios profesionales"/>
    <s v="ENERO"/>
    <n v="12"/>
    <n v="0"/>
    <n v="9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x v="52"/>
    <x v="47"/>
    <s v="09 - contratación directa"/>
    <x v="0"/>
    <s v="25 - contrato de prestacion de servicios profesionales"/>
    <s v="ENERO"/>
    <n v="8"/>
    <n v="0"/>
    <n v="336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x v="53"/>
    <x v="48"/>
    <s v="09 - contratación directa"/>
    <x v="0"/>
    <s v="25 - contrato de prestacion de servicios profesionales"/>
    <s v="ENERO"/>
    <n v="11"/>
    <n v="0"/>
    <n v="9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x v="54"/>
    <x v="49"/>
    <s v="09 - contratación directa"/>
    <x v="0"/>
    <s v="25 - contrato de prestacion de servicios profesionales"/>
    <s v="ENERO"/>
    <n v="11"/>
    <n v="0"/>
    <n v="8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x v="55"/>
    <x v="50"/>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x v="56"/>
    <x v="51"/>
    <s v="09 - contratación directa"/>
    <x v="0"/>
    <s v="25 - contrato de prestacion de servicios profesionales"/>
    <s v="ENERO"/>
    <n v="12"/>
    <n v="0"/>
    <n v="12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x v="57"/>
    <x v="52"/>
    <s v="09 - contratación directa"/>
    <x v="0"/>
    <s v="25 - contrato de prestacion de servicios profesionales"/>
    <s v="ENERO"/>
    <n v="6"/>
    <n v="0"/>
    <n v="4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x v="58"/>
    <x v="53"/>
    <s v="09 - contratación directa"/>
    <x v="0"/>
    <s v="25 - contrato de prestacion de servicios profesionales"/>
    <s v="ENERO"/>
    <n v="11"/>
    <n v="0"/>
    <n v="101200000"/>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x v="59"/>
    <x v="54"/>
    <s v="09 - contratación directa"/>
    <x v="0"/>
    <s v="25 - contrato de prestacion de servicios profesionales"/>
    <s v="ENERO"/>
    <n v="8"/>
    <n v="0"/>
    <n v="52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x v="60"/>
    <x v="55"/>
    <s v="09 - contratación directa"/>
    <x v="0"/>
    <s v="25 - contrato de prestacion de servicios profesionales"/>
    <s v="ENERO"/>
    <n v="6"/>
    <n v="0"/>
    <n v="3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x v="61"/>
    <x v="56"/>
    <s v="09 - contratación directa"/>
    <x v="0"/>
    <s v="25 - contrato de prestacion de servicios profesionales"/>
    <s v="ENERO"/>
    <n v="6"/>
    <n v="0"/>
    <n v="6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x v="62"/>
    <x v="57"/>
    <s v="09 - contratación directa"/>
    <x v="0"/>
    <s v="25 - contrato de prestacion de servicios profesionales"/>
    <s v="ENERO"/>
    <n v="6"/>
    <n v="0"/>
    <n v="402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x v="63"/>
    <x v="58"/>
    <s v="09 - contratación directa"/>
    <x v="0"/>
    <s v="25 - contrato de prestacion de servicios profesionales"/>
    <s v="ENERO"/>
    <n v="6"/>
    <n v="0"/>
    <n v="3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x v="64"/>
    <x v="59"/>
    <s v="09 - contratación directa"/>
    <x v="0"/>
    <s v="26 - contrato de prestacion de servicios de apoyo a la gestion"/>
    <s v="ENERO"/>
    <n v="8"/>
    <n v="0"/>
    <n v="35926528"/>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x v="65"/>
    <x v="60"/>
    <s v="09 - contratación directa"/>
    <x v="0"/>
    <s v="25 - contrato de prestacion de servicios profesionales"/>
    <s v="ENERO"/>
    <n v="8"/>
    <n v="0"/>
    <n v="56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x v="66"/>
    <x v="61"/>
    <s v="09 - contratación directa"/>
    <x v="0"/>
    <s v="26 - contrato de prestacion de servicios de apoyo a la gestion"/>
    <s v="ENERO"/>
    <n v="7"/>
    <n v="0"/>
    <n v="4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x v="67"/>
    <x v="62"/>
    <s v="09 - contratación directa"/>
    <x v="0"/>
    <s v="25 - contrato de prestacion de servicios profesionales"/>
    <s v="ENERO"/>
    <n v="7"/>
    <n v="0"/>
    <n v="4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x v="68"/>
    <x v="63"/>
    <s v="09 - contratación directa"/>
    <x v="0"/>
    <s v="25 - contrato de prestacion de servicios profesionales"/>
    <s v="FEBRERO"/>
    <n v="10"/>
    <n v="0"/>
    <n v="78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x v="69"/>
    <x v="64"/>
    <s v="09 - contratación directa"/>
    <x v="0"/>
    <s v="25 - contrato de prestacion de servicios profesionales"/>
    <s v="FEBRERO"/>
    <n v="10"/>
    <n v="0"/>
    <n v="85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x v="70"/>
    <x v="65"/>
    <s v="09 - contratación directa"/>
    <x v="0"/>
    <s v="25 - contrato de prestacion de servicios profesionales"/>
    <s v="FEBRERO"/>
    <n v="10"/>
    <n v="0"/>
    <n v="8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x v="71"/>
    <x v="66"/>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x v="72"/>
    <x v="66"/>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x v="73"/>
    <x v="66"/>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x v="74"/>
    <x v="66"/>
    <s v="09 - contratación directa"/>
    <x v="0"/>
    <s v="25 - contrato de prestacion de servicios profesionales"/>
    <s v="FEBRERO"/>
    <n v="10"/>
    <n v="0"/>
    <n v="7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x v="75"/>
    <x v="66"/>
    <s v="09 - contratación directa"/>
    <x v="0"/>
    <s v="25 - contrato de prestacion de servicios profesionales"/>
    <s v="FEBRERO"/>
    <n v="10"/>
    <n v="0"/>
    <n v="28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x v="76"/>
    <x v="67"/>
    <s v="09 - contratación directa"/>
    <x v="0"/>
    <s v="25 - contrato de prestacion de servicios profesionales"/>
    <s v="FEBRERO"/>
    <n v="10"/>
    <n v="0"/>
    <n v="54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x v="77"/>
    <x v="68"/>
    <s v="09 - contratación directa"/>
    <x v="0"/>
    <s v="26 - contrato de prestacion de servicios de apoyo a la gestion"/>
    <s v="FEBRERO"/>
    <n v="10"/>
    <n v="0"/>
    <n v="36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x v="78"/>
    <x v="69"/>
    <s v="09 - contratación directa"/>
    <x v="0"/>
    <s v="26 - contrato de prestacion de servicios de apoyo a la gestion"/>
    <s v="FEBRERO"/>
    <n v="10"/>
    <n v="0"/>
    <n v="252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x v="79"/>
    <x v="70"/>
    <s v="09 - contratación directa"/>
    <x v="0"/>
    <s v="25 - contrato de prestacion de servicios profesionales"/>
    <s v="FEBRERO"/>
    <n v="10"/>
    <n v="0"/>
    <n v="6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x v="80"/>
    <x v="71"/>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x v="81"/>
    <x v="72"/>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x v="82"/>
    <x v="73"/>
    <s v="09 - contratación directa"/>
    <x v="0"/>
    <s v="25 - contrato de prestacion de servicios profesionales"/>
    <s v="ENERO"/>
    <n v="11"/>
    <n v="0"/>
    <n v="85157996"/>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x v="83"/>
    <x v="73"/>
    <s v="09 - contratación directa"/>
    <x v="0"/>
    <s v="25 - contrato de prestacion de servicios profesionales"/>
    <s v="ENERO"/>
    <n v="11"/>
    <n v="0"/>
    <n v="51423999"/>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x v="84"/>
    <x v="74"/>
    <s v="09 - contratación directa"/>
    <x v="0"/>
    <s v="26 - contrato de prestacion de servicios de apoyo a la gestion"/>
    <s v="ENERO"/>
    <n v="11"/>
    <n v="0"/>
    <n v="43101993"/>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x v="85"/>
    <x v="75"/>
    <s v="09 - contratación directa"/>
    <x v="0"/>
    <s v="25 - contrato de prestacion de servicios profesionales"/>
    <s v="FEBRERO"/>
    <n v="9"/>
    <n v="0"/>
    <n v="90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x v="86"/>
    <x v="76"/>
    <s v="09 - contratación directa"/>
    <x v="0"/>
    <s v="25 - contrato de prestacion de servicios profesionales"/>
    <s v="FEBRERO"/>
    <n v="8"/>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x v="87"/>
    <x v="77"/>
    <s v="09 - contratación directa"/>
    <x v="0"/>
    <s v="25 - contrato de prestacion de servicios profesionales"/>
    <s v="FEBRERO"/>
    <n v="9"/>
    <n v="0"/>
    <n v="67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88"/>
    <x v="78"/>
    <s v="09 - contratación directa"/>
    <x v="0"/>
    <s v="25 - contrato de prestacion de servicios profesionales"/>
    <s v="FEBRERO"/>
    <n v="8"/>
    <n v="0"/>
    <n v="536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x v="89"/>
    <x v="78"/>
    <s v="09 - contratación directa"/>
    <x v="0"/>
    <s v="25 - contrato de prestacion de servicios profesionales"/>
    <s v="FEBRERO"/>
    <n v="8"/>
    <n v="0"/>
    <n v="536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x v="90"/>
    <x v="79"/>
    <s v="09 - contratación directa"/>
    <x v="0"/>
    <s v="25 - contrato de prestacion de servicios profesionales"/>
    <s v="FEBRERO"/>
    <n v="9"/>
    <n v="0"/>
    <n v="94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x v="91"/>
    <x v="80"/>
    <s v="09 - contratación directa"/>
    <x v="0"/>
    <s v="25 - contrato de prestacion de servicios profesionales"/>
    <s v="FEBRERO"/>
    <n v="8"/>
    <n v="0"/>
    <n v="772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x v="92"/>
    <x v="81"/>
    <s v="09 - contratación directa"/>
    <x v="0"/>
    <s v="25 - contrato de prestacion de servicios profesionales"/>
    <s v="FEBRERO"/>
    <n v="8"/>
    <n v="0"/>
    <n v="51984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x v="93"/>
    <x v="82"/>
    <s v="09 - contratación directa"/>
    <x v="0"/>
    <s v="25 - contrato de prestacion de servicios profesionales"/>
    <s v="JULIO"/>
    <n v="3"/>
    <n v="0"/>
    <n v="33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x v="94"/>
    <x v="77"/>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5"/>
    <x v="77"/>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6"/>
    <x v="83"/>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x v="97"/>
    <x v="77"/>
    <s v="09 - contratación directa"/>
    <x v="0"/>
    <s v="25 - contrato de prestacion de servicios profesionales"/>
    <s v="FEBRERO"/>
    <n v="9"/>
    <n v="0"/>
    <n v="7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8"/>
    <x v="77"/>
    <s v="09 - contratación directa"/>
    <x v="0"/>
    <s v="25 - contrato de prestacion de servicios profesionales"/>
    <s v="FEBRERO"/>
    <n v="9"/>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9"/>
    <x v="78"/>
    <s v="09 - contratación directa"/>
    <x v="0"/>
    <s v="26 - contrato de prestacion de servicios de apoyo a la gestion"/>
    <s v="FEBRERO"/>
    <n v="9"/>
    <n v="0"/>
    <n v="603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x v="100"/>
    <x v="78"/>
    <s v="09 - contratación directa"/>
    <x v="0"/>
    <s v="26 - contrato de prestacion de servicios de apoyo a la gestion"/>
    <s v="FEBRERO"/>
    <n v="8"/>
    <n v="0"/>
    <n v="464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x v="101"/>
    <x v="84"/>
    <s v="09 - contratación directa"/>
    <x v="0"/>
    <s v="25 - contrato de prestacion de servicios profesionales"/>
    <s v="FEBRERO"/>
    <n v="8"/>
    <n v="0"/>
    <n v="7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x v="102"/>
    <x v="85"/>
    <s v="09 - contratación directa"/>
    <x v="0"/>
    <s v="25 - contrato de prestacion de servicios profesionales"/>
    <s v="FEBRERO"/>
    <n v="11"/>
    <n v="0"/>
    <n v="37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x v="103"/>
    <x v="86"/>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x v="104"/>
    <x v="87"/>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x v="105"/>
    <x v="87"/>
    <s v="09 - contratación directa"/>
    <x v="0"/>
    <s v="26 - contrato de prestacion de servicios de apoyo a la gestion"/>
    <s v="FEBRERO"/>
    <n v="8"/>
    <n v="0"/>
    <n v="28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x v="106"/>
    <x v="88"/>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x v="107"/>
    <x v="89"/>
    <s v="09 - contratación directa"/>
    <x v="0"/>
    <s v="25 - contrato de prestacion de servicios profesionales"/>
    <s v="FEBRERO"/>
    <n v="8"/>
    <n v="0"/>
    <n v="461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x v="108"/>
    <x v="90"/>
    <s v="09 - contratación directa"/>
    <x v="0"/>
    <s v="25 - contrato de prestacion de servicios profesionales"/>
    <s v="FEBRERO"/>
    <n v="8"/>
    <n v="0"/>
    <n v="60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x v="109"/>
    <x v="91"/>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x v="110"/>
    <x v="92"/>
    <s v="09 - contratación directa"/>
    <x v="0"/>
    <s v="25 - contrato de prestacion de servicios profesionales"/>
    <s v="FEBRERO"/>
    <n v="8"/>
    <n v="0"/>
    <n v="64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x v="111"/>
    <x v="93"/>
    <s v="09 - contratación directa"/>
    <x v="0"/>
    <s v="25 - contrato de prestacion de servicios profesionales"/>
    <s v="FEBRERO"/>
    <n v="8"/>
    <n v="0"/>
    <n v="52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x v="112"/>
    <x v="94"/>
    <s v="09 - contratación directa"/>
    <x v="0"/>
    <s v="25 - contrato de prestacion de servicios profesionales"/>
    <s v="ENERO"/>
    <n v="8"/>
    <n v="0"/>
    <n v="64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x v="113"/>
    <x v="95"/>
    <s v="09 - contratación directa"/>
    <x v="0"/>
    <s v="26 - contrato de prestacion de servicios de apoyo a la gestion"/>
    <s v="ENERO"/>
    <n v="7"/>
    <n v="0"/>
    <n v="26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4"/>
    <x v="96"/>
    <s v="09 - contratación directa"/>
    <x v="0"/>
    <s v="26 - contrato de prestacion de servicios de apoyo a la gestion"/>
    <s v="ENERO"/>
    <n v="11"/>
    <n v="0"/>
    <n v="462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x v="115"/>
    <x v="95"/>
    <s v="09 - contratación directa"/>
    <x v="0"/>
    <s v="26 - contrato de prestacion de servicios de apoyo a la gestion"/>
    <s v="ENERO"/>
    <n v="7"/>
    <n v="0"/>
    <n v="26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6"/>
    <x v="95"/>
    <s v="09 - contratación directa"/>
    <x v="0"/>
    <s v="26 - contrato de prestacion de servicios de apoyo a la gestion"/>
    <s v="ENERO"/>
    <n v="11"/>
    <n v="0"/>
    <n v="41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7"/>
    <x v="97"/>
    <s v="09 - contratación directa"/>
    <x v="0"/>
    <s v="26 - contrato de prestacion de servicios de apoyo a la gestion"/>
    <s v="ENERO"/>
    <n v="7"/>
    <n v="0"/>
    <n v="287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x v="118"/>
    <x v="98"/>
    <s v="09 - contratación directa"/>
    <x v="0"/>
    <s v="25 - contrato de prestacion de servicios profesionales"/>
    <s v="ENERO"/>
    <n v="3"/>
    <n v="15"/>
    <n v="29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x v="119"/>
    <x v="99"/>
    <s v="09 - contratación directa"/>
    <x v="0"/>
    <s v="25 - contrato de prestacion de servicios profesionales"/>
    <s v="ENERO"/>
    <n v="5"/>
    <n v="0"/>
    <n v="29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x v="120"/>
    <x v="100"/>
    <s v="09 - contratación directa"/>
    <x v="0"/>
    <s v="25 - contrato de prestacion de servicios profesionales"/>
    <s v="ENERO"/>
    <n v="10"/>
    <n v="0"/>
    <n v="6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x v="121"/>
    <x v="101"/>
    <s v="09 - contratación directa"/>
    <x v="0"/>
    <s v="26 - contrato de prestacion de servicios de apoyo a la gestion"/>
    <s v="ENERO"/>
    <n v="10"/>
    <n v="0"/>
    <n v="36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x v="122"/>
    <x v="102"/>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x v="123"/>
    <x v="103"/>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x v="124"/>
    <x v="104"/>
    <s v="09 - contratación directa"/>
    <x v="0"/>
    <s v="25 - contrato de prestacion de servicios profesionales"/>
    <s v="ENERO"/>
    <n v="7"/>
    <n v="0"/>
    <n v="38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x v="125"/>
    <x v="105"/>
    <s v="09 - contratación directa"/>
    <x v="0"/>
    <s v="25 - contrato de prestacion de servicios profesionales"/>
    <s v="ENERO"/>
    <n v="10"/>
    <n v="0"/>
    <n v="69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x v="126"/>
    <x v="106"/>
    <s v="09 - contratación directa"/>
    <x v="0"/>
    <s v="26 - contrato de prestacion de servicios de apoyo a la gestion"/>
    <s v="ENERO"/>
    <n v="7"/>
    <n v="0"/>
    <n v="287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x v="127"/>
    <x v="107"/>
    <s v="09 - contratación directa"/>
    <x v="0"/>
    <s v="25 - contrato de prestacion de servicios profesionales"/>
    <s v="ENERO"/>
    <n v="7"/>
    <n v="0"/>
    <n v="4508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x v="128"/>
    <x v="108"/>
    <s v="09 - contratación directa"/>
    <x v="0"/>
    <s v="25 - contrato de prestacion de servicios profesionales"/>
    <s v="ENERO"/>
    <n v="11"/>
    <n v="0"/>
    <n v="539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x v="129"/>
    <x v="109"/>
    <s v="09 - contratación directa"/>
    <x v="0"/>
    <s v="26 - contrato de prestacion de servicios de apoyo a la gestion"/>
    <s v="ENERO"/>
    <n v="8"/>
    <n v="0"/>
    <n v="3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x v="130"/>
    <x v="110"/>
    <s v="09 - contratación directa"/>
    <x v="0"/>
    <s v="25 - contrato de prestacion de servicios profesionales"/>
    <s v="ENERO"/>
    <n v="7"/>
    <n v="0"/>
    <n v="40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x v="131"/>
    <x v="111"/>
    <s v="09 - contratación directa"/>
    <x v="0"/>
    <s v="25 - contrato de prestacion de servicios profesionales"/>
    <s v="ENERO"/>
    <n v="11"/>
    <n v="0"/>
    <n v="671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x v="132"/>
    <x v="112"/>
    <s v="09 - contratación directa"/>
    <x v="0"/>
    <s v="26 - contrato de prestacion de servicios de apoyo a la gestion"/>
    <s v="ENERO"/>
    <n v="7"/>
    <n v="0"/>
    <n v="28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x v="133"/>
    <x v="113"/>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4"/>
    <x v="113"/>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5"/>
    <x v="113"/>
    <s v="09 - contratación directa"/>
    <x v="0"/>
    <s v="25 - contrato de prestacion de servicios profesionales"/>
    <s v="ENERO"/>
    <n v="7"/>
    <n v="0"/>
    <n v="42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6"/>
    <x v="114"/>
    <s v="09 - contratación directa"/>
    <x v="0"/>
    <s v="25 - contrato de prestacion de servicios profesionales"/>
    <s v="ENERO"/>
    <n v="7"/>
    <n v="0"/>
    <n v="34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x v="137"/>
    <x v="115"/>
    <s v="09 - contratación directa"/>
    <x v="0"/>
    <s v="25 - contrato de prestacion de servicios profesionales"/>
    <s v="ENERO"/>
    <n v="7"/>
    <n v="0"/>
    <n v="36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x v="138"/>
    <x v="116"/>
    <s v="09 - contratación directa"/>
    <x v="0"/>
    <s v="25 - contrato de prestacion de servicios profesionales"/>
    <s v="ENERO"/>
    <n v="11"/>
    <n v="0"/>
    <n v="7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x v="139"/>
    <x v="117"/>
    <s v="09 - contratación directa"/>
    <x v="0"/>
    <s v="25 - contrato de prestacion de servicios profesionales"/>
    <s v="ENERO"/>
    <n v="10"/>
    <n v="0"/>
    <n v="64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x v="140"/>
    <x v="118"/>
    <s v="09 - contratación directa"/>
    <x v="0"/>
    <s v="25 - contrato de prestacion de servicios profesionales"/>
    <s v="ENERO"/>
    <n v="11"/>
    <n v="0"/>
    <n v="7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x v="141"/>
    <x v="119"/>
    <s v="09 - contratación directa"/>
    <x v="0"/>
    <s v="25 - contrato de prestacion de servicios profesionales"/>
    <s v="ENERO"/>
    <n v="10"/>
    <n v="0"/>
    <n v="65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x v="142"/>
    <x v="120"/>
    <s v="09 - contratación directa"/>
    <x v="0"/>
    <s v="25 - contrato de prestacion de servicios profesionales"/>
    <s v="ENERO"/>
    <n v="7"/>
    <n v="0"/>
    <n v="51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x v="143"/>
    <x v="121"/>
    <s v="09 - contratación directa"/>
    <x v="0"/>
    <s v="25 - contrato de prestacion de servicios profesionales"/>
    <s v="ENERO"/>
    <n v="7"/>
    <n v="0"/>
    <n v="50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x v="144"/>
    <x v="122"/>
    <s v="09 - contratación directa"/>
    <x v="0"/>
    <s v="26 - contrato de prestacion de servicios de apoyo a la gestion"/>
    <s v="ENERO"/>
    <n v="7"/>
    <n v="0"/>
    <n v="252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x v="145"/>
    <x v="123"/>
    <s v="09 - contratación directa"/>
    <x v="0"/>
    <s v="25 - contrato de prestacion de servicios profesionales"/>
    <s v="ENERO"/>
    <n v="7"/>
    <n v="0"/>
    <n v="41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x v="146"/>
    <x v="124"/>
    <s v="09 - contratación directa"/>
    <x v="0"/>
    <s v="25 - contrato de prestacion de servicios profesionales"/>
    <s v="ENERO"/>
    <n v="8"/>
    <n v="0"/>
    <n v="576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x v="147"/>
    <x v="125"/>
    <s v="09 - contratación directa"/>
    <x v="0"/>
    <s v="25 - contrato de prestacion de servicios profesionales"/>
    <s v="ENERO"/>
    <n v="5"/>
    <n v="0"/>
    <n v="46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x v="148"/>
    <x v="126"/>
    <s v="09 - contratación directa"/>
    <x v="0"/>
    <s v="25 - contrato de prestacion de servicios profesionales"/>
    <s v="ENERO"/>
    <n v="7"/>
    <n v="0"/>
    <n v="50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x v="149"/>
    <x v="127"/>
    <s v="09 - contratación directa"/>
    <x v="0"/>
    <s v="25 - contrato de prestacion de servicios profesionales"/>
    <s v="ENERO"/>
    <n v="7"/>
    <n v="0"/>
    <n v="609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x v="150"/>
    <x v="128"/>
    <s v="09 - contratación directa"/>
    <x v="0"/>
    <s v="25 - contrato de prestacion de servicios profesionales"/>
    <s v="ENERO"/>
    <n v="7"/>
    <n v="0"/>
    <n v="623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x v="151"/>
    <x v="129"/>
    <s v="09 - contratación directa"/>
    <x v="0"/>
    <s v="25 - contrato de prestacion de servicios profesionales"/>
    <s v="ENERO"/>
    <n v="10"/>
    <n v="0"/>
    <n v="83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x v="152"/>
    <x v="130"/>
    <s v="09 - contratación directa"/>
    <x v="0"/>
    <s v="25 - contrato de prestacion de servicios profesionales"/>
    <s v="ENERO"/>
    <n v="11"/>
    <n v="0"/>
    <n v="92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x v="153"/>
    <x v="131"/>
    <s v="09 - contratación directa"/>
    <x v="0"/>
    <s v="25 - contrato de prestacion de servicios profesionales"/>
    <s v="ENERO"/>
    <n v="8"/>
    <n v="0"/>
    <n v="66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x v="154"/>
    <x v="132"/>
    <s v="09 - contratación directa"/>
    <x v="0"/>
    <s v="25 - contrato de prestacion de servicios profesionales"/>
    <s v="ENERO"/>
    <n v="11"/>
    <n v="0"/>
    <n v="605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x v="155"/>
    <x v="133"/>
    <s v="09 - contratación directa"/>
    <x v="0"/>
    <s v="25 - contrato de prestacion de servicios profesionales"/>
    <s v="ENERO"/>
    <n v="7"/>
    <n v="0"/>
    <n v="37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x v="156"/>
    <x v="134"/>
    <s v="09 - contratación directa"/>
    <x v="0"/>
    <s v="25 - contrato de prestacion de servicios profesionales"/>
    <s v="ENERO"/>
    <n v="7"/>
    <n v="0"/>
    <n v="37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x v="157"/>
    <x v="135"/>
    <s v="09 - contratación directa"/>
    <x v="0"/>
    <s v="25 - contrato de prestacion de servicios profesionales"/>
    <s v="ENERO"/>
    <n v="10"/>
    <n v="0"/>
    <n v="8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x v="158"/>
    <x v="136"/>
    <s v="09 - contratación directa"/>
    <x v="0"/>
    <s v="25 - contrato de prestacion de servicios profesionales"/>
    <s v="ENERO"/>
    <n v="11"/>
    <n v="0"/>
    <n v="57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x v="159"/>
    <x v="137"/>
    <s v="09 - contratación directa"/>
    <x v="0"/>
    <s v="25 - contrato de prestacion de servicios profesionales"/>
    <s v="ENERO"/>
    <n v="10"/>
    <n v="0"/>
    <n v="7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x v="160"/>
    <x v="138"/>
    <s v="09 - contratación directa"/>
    <x v="0"/>
    <s v="26 - contrato de prestacion de servicios de apoyo a la gestion"/>
    <s v="ENERO"/>
    <n v="11"/>
    <n v="0"/>
    <n v="40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x v="161"/>
    <x v="139"/>
    <s v="09 - contratación directa"/>
    <x v="0"/>
    <s v="25 - contrato de prestacion de servicios profesionales"/>
    <s v="ENERO"/>
    <n v="11"/>
    <n v="0"/>
    <n v="81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x v="162"/>
    <x v="140"/>
    <s v="09 - contratación directa"/>
    <x v="0"/>
    <s v="25 - contrato de prestacion de servicios profesionales"/>
    <s v="ENERO"/>
    <n v="11"/>
    <n v="0"/>
    <n v="84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x v="163"/>
    <x v="141"/>
    <s v="09 - contratación directa"/>
    <x v="0"/>
    <s v="25 - contrato de prestacion de servicios profesionales"/>
    <s v="ENERO"/>
    <n v="10"/>
    <n v="0"/>
    <n v="5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x v="164"/>
    <x v="142"/>
    <s v="09 - contratación directa"/>
    <x v="0"/>
    <s v="26 - contrato de prestacion de servicios de apoyo a la gestion"/>
    <s v="ENERO"/>
    <n v="8"/>
    <n v="0"/>
    <n v="2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x v="165"/>
    <x v="143"/>
    <s v="09 - contratación directa"/>
    <x v="0"/>
    <s v="25 - contrato de prestacion de servicios profesionales"/>
    <s v="ENERO"/>
    <n v="11"/>
    <n v="0"/>
    <n v="96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x v="166"/>
    <x v="144"/>
    <s v="09 - contratación directa"/>
    <x v="0"/>
    <s v="25 - contrato de prestacion de servicios profesionales"/>
    <s v="ENERO"/>
    <n v="11"/>
    <n v="0"/>
    <n v="93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x v="167"/>
    <x v="145"/>
    <s v="09 - contratación directa"/>
    <x v="0"/>
    <s v="25 - contrato de prestacion de servicios profesionales"/>
    <s v="ENERO"/>
    <n v="11"/>
    <n v="0"/>
    <n v="88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x v="168"/>
    <x v="146"/>
    <s v="09 - contratación directa"/>
    <x v="0"/>
    <s v="25 - contrato de prestacion de servicios profesionales"/>
    <s v="ENERO"/>
    <n v="11"/>
    <n v="0"/>
    <n v="114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x v="169"/>
    <x v="147"/>
    <s v="91 - n/a acto administrativo (resolución, decreto, acuerdo, etc.)"/>
    <x v="1"/>
    <s v="03 - contrato de prestacion de servicios"/>
    <s v="FEBRERO"/>
    <n v="11"/>
    <n v="0"/>
    <n v="500000000"/>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x v="170"/>
    <x v="148"/>
    <s v="91 - n/a acto administrativo (resolución, decreto, acuerdo, etc.)"/>
    <x v="1"/>
    <s v="03 - contrato de prestacion de servicios"/>
    <s v="FEBRERO"/>
    <n v="11"/>
    <n v="0"/>
    <n v="260000000"/>
    <s v="NO"/>
    <x v="5"/>
    <s v="Jose Andres Ponce Caicedo"/>
    <x v="2"/>
    <s v="Subdirector@ de Gestión del Riesgo"/>
    <x v="0"/>
    <n v="901218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x v="171"/>
    <x v="149"/>
    <s v="03 - selec. abrev. subasta inversa"/>
    <x v="1"/>
    <s v="06 - contrato de compraventa"/>
    <s v="SEPTIEMBRE"/>
    <n v="4"/>
    <n v="0"/>
    <n v="120413745"/>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x v="172"/>
    <x v="150"/>
    <s v="09 - contratación directa"/>
    <x v="1"/>
    <s v="03 - contrato de prestacion de servicios"/>
    <s v="AGOSTO"/>
    <n v="6"/>
    <n v="0"/>
    <n v="182514000"/>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 Prestar los servicios de capacitación y formación  para el curso instructor Proboard para el personal operativo de la Unidad Administrativa Especial Cuerpo Oficial de Bomberos Bogotá."/>
  </r>
  <r>
    <x v="173"/>
    <x v="151"/>
    <s v="04 - contratación mínima cuantía"/>
    <x v="1"/>
    <s v="06 - contrato de compraventa"/>
    <s v="MARZO"/>
    <n v="4"/>
    <n v="0"/>
    <n v="32126000"/>
    <s v="NO"/>
    <x v="5"/>
    <s v="Jose Andres Ponce Caicedo"/>
    <x v="2"/>
    <s v="Subdirector@ de Gestión del Riesgo"/>
    <x v="0"/>
    <n v="5510151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x v="174"/>
    <x v="152"/>
    <s v="02 - selec. abrev. menor cuantía"/>
    <x v="1"/>
    <s v="03 - contrato de prestacion de servicios"/>
    <s v="AGOSTO"/>
    <n v="6"/>
    <n v="0"/>
    <n v="509200000"/>
    <s v="NO"/>
    <x v="5"/>
    <s v="Jose Andres Ponce Caicedo"/>
    <x v="1"/>
    <s v="Subdirector@ de Gestión Corporativa"/>
    <x v="1"/>
    <s v="85121503;85121603;85121604;85121608;85121610;85121611;85121612;85121702;85122201"/>
    <x v="4"/>
    <s v="No a"/>
    <s v="li"/>
    <s v="NA"/>
    <s v="NA"/>
    <s v="NA"/>
    <s v="N/A"/>
    <s v="N/A"/>
    <s v="N/A-N/A"/>
    <s v="N/A"/>
    <s v="N/A"/>
    <s v="N/A_N/A"/>
    <s v="N/A-N/A N/A_N/A"/>
    <x v="1"/>
    <x v="1"/>
    <x v="6"/>
    <s v="Si Secop "/>
    <s v="20260193-BS-No a-li-SGH -Contratar la realización de los exámenes Médicos Ocupacionales para el personal de la UAE Cuerpo Oficial de Bomberos de Bogotá"/>
  </r>
  <r>
    <x v="175"/>
    <x v="153"/>
    <s v="09 - contratación directa"/>
    <x v="1"/>
    <s v="03 - contrato de prestacion de servicios"/>
    <s v="ENERO"/>
    <n v="10"/>
    <n v="0"/>
    <n v="1620000000"/>
    <s v="NO"/>
    <x v="5"/>
    <s v="Jose Andres Ponce Caicedo"/>
    <x v="1"/>
    <s v="Subdirector@ de Gestión Corporativa"/>
    <x v="1"/>
    <s v="90101600;90111600;90141700;90151700"/>
    <x v="4"/>
    <s v="No a"/>
    <s v="li"/>
    <s v="NA"/>
    <s v="NA"/>
    <s v="NA"/>
    <s v="N/A"/>
    <s v="N/A"/>
    <s v="N/A-N/A"/>
    <s v="N/A"/>
    <s v="N/A"/>
    <s v="N/A_N/A"/>
    <s v="N/A-N/A N/A_N/A"/>
    <x v="1"/>
    <x v="1"/>
    <x v="6"/>
    <s v="Si Secop "/>
    <s v="20260194-BS-No a-li-SGH - Contratar la Prestación de Servicios para desarrollar el Plan de Bienestar de la UAE Cuerpo Oficial de Bomberos para la Vigencia 2026"/>
  </r>
  <r>
    <x v="176"/>
    <x v="154"/>
    <s v="02 - selec. abrev. menor cuantía"/>
    <x v="1"/>
    <s v="06 - contrato de compraventa"/>
    <s v="AGOSTO"/>
    <n v="4"/>
    <n v="0"/>
    <n v="62000000"/>
    <s v="NO"/>
    <x v="5"/>
    <s v="Jose Andres Ponce Caicedo"/>
    <x v="1"/>
    <s v="Subdirector@ de Gestión Corporativa"/>
    <x v="1"/>
    <s v="46181900;46181901"/>
    <x v="4"/>
    <s v="No a"/>
    <s v="li"/>
    <s v="NA"/>
    <s v="NA"/>
    <s v="NA"/>
    <s v="N/A"/>
    <s v="N/A"/>
    <s v="N/A-N/A"/>
    <s v="N/A"/>
    <s v="N/A"/>
    <s v="N/A_N/A"/>
    <s v="N/A-N/A N/A_N/A"/>
    <x v="1"/>
    <x v="1"/>
    <x v="6"/>
    <s v="Si Secop "/>
    <s v="20260195-BS-No a-li-SGH - Adquirir elementos de protección personal para prevenir la aparición de enfermedades ocupacionales en el oido, de los funcionarios de la UAE Cuerpo Oficial de Bomberos de Bogotá"/>
  </r>
  <r>
    <x v="177"/>
    <x v="155"/>
    <s v="01 - licitación pública"/>
    <x v="1"/>
    <s v="17 - contrato de mantenimiento"/>
    <s v="ENERO"/>
    <n v="12"/>
    <n v="0"/>
    <n v="6689476699"/>
    <s v="SI"/>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x v="178"/>
    <x v="156"/>
    <s v="03 - selec. abrev. subasta inversa"/>
    <x v="1"/>
    <s v="08 - contrato de suministro"/>
    <s v="JULIO"/>
    <n v="12"/>
    <n v="0"/>
    <n v="1024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x v="179"/>
    <x v="157"/>
    <s v="09 - contratación directa"/>
    <x v="0"/>
    <s v="25 - contrato de prestacion de servicios profesionales"/>
    <s v="ENERO"/>
    <n v="10"/>
    <n v="0"/>
    <n v="9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x v="180"/>
    <x v="158"/>
    <s v="09 - contratación directa"/>
    <x v="0"/>
    <s v="25 - contrato de prestacion de servicios profesionales"/>
    <s v="ENERO"/>
    <n v="5"/>
    <n v="0"/>
    <n v="32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x v="181"/>
    <x v="159"/>
    <s v="09 - contratación directa"/>
    <x v="0"/>
    <s v="25 - contrato de prestacion de servicios profesionales"/>
    <s v="ENERO"/>
    <n v="8"/>
    <n v="0"/>
    <n v="64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x v="182"/>
    <x v="158"/>
    <s v="09 - contratación directa"/>
    <x v="0"/>
    <s v="25 - contrato de prestacion de servicios profesionales"/>
    <s v="ENERO"/>
    <n v="5"/>
    <n v="0"/>
    <n v="3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x v="183"/>
    <x v="160"/>
    <s v="09 - contratación directa"/>
    <x v="0"/>
    <s v="25 - contrato de prestacion de servicios profesionales"/>
    <s v="ENERO"/>
    <n v="9"/>
    <n v="0"/>
    <n v="7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x v="184"/>
    <x v="161"/>
    <s v="09 - contratación directa"/>
    <x v="0"/>
    <s v="25 - contrato de prestacion de servicios profesionales"/>
    <s v="ENERO"/>
    <n v="9"/>
    <n v="0"/>
    <n v="3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x v="185"/>
    <x v="162"/>
    <s v="09 - contratación directa"/>
    <x v="0"/>
    <s v="25 - contrato de prestacion de servicios profesionales"/>
    <s v="ENERO"/>
    <n v="11"/>
    <n v="0"/>
    <n v="10992444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x v="186"/>
    <x v="163"/>
    <s v="09 - contratación directa"/>
    <x v="0"/>
    <s v="25 - contrato de prestacion de servicios profesionales"/>
    <s v="ENERO"/>
    <n v="9"/>
    <n v="0"/>
    <n v="3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x v="187"/>
    <x v="164"/>
    <s v="09 - contratación directa"/>
    <x v="0"/>
    <s v="25 - contrato de prestacion de servicios profesionales"/>
    <s v="ENERO"/>
    <n v="7"/>
    <n v="15"/>
    <n v="4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x v="188"/>
    <x v="165"/>
    <s v="09 - contratación directa"/>
    <x v="0"/>
    <s v="26 - contrato de prestacion de servicios de apoyo a la gestion"/>
    <s v="ENERO"/>
    <n v="7"/>
    <n v="15"/>
    <n v="2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x v="189"/>
    <x v="166"/>
    <s v="09 - contratación directa"/>
    <x v="0"/>
    <s v="25 - contrato de prestacion de servicios profesionales"/>
    <s v="ENERO"/>
    <n v="10"/>
    <n v="0"/>
    <n v="612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x v="190"/>
    <x v="167"/>
    <s v="09 - contratación directa"/>
    <x v="0"/>
    <s v="25 - contrato de prestacion de servicios profesionales"/>
    <s v="ENERO"/>
    <n v="10"/>
    <n v="0"/>
    <n v="837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x v="191"/>
    <x v="167"/>
    <s v="09 - contratación directa"/>
    <x v="0"/>
    <s v="25 - contrato de prestacion de servicios profesionales"/>
    <s v="ENERO"/>
    <n v="9"/>
    <n v="0"/>
    <n v="6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x v="192"/>
    <x v="168"/>
    <s v="09 - contratación directa"/>
    <x v="0"/>
    <s v="25 - contrato de prestacion de servicios profesionales"/>
    <s v="ENERO"/>
    <n v="7"/>
    <n v="0"/>
    <n v="525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x v="193"/>
    <x v="169"/>
    <s v="09 - contratación directa"/>
    <x v="0"/>
    <s v="25 - contrato de prestacion de servicios profesionales"/>
    <s v="ENERO"/>
    <n v="10"/>
    <n v="0"/>
    <n v="6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x v="194"/>
    <x v="170"/>
    <s v="09 - contratación directa"/>
    <x v="0"/>
    <s v="25 - contrato de prestacion de servicios profesionales"/>
    <s v="ENERO"/>
    <n v="9"/>
    <n v="0"/>
    <n v="315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x v="195"/>
    <x v="171"/>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x v="196"/>
    <x v="172"/>
    <s v="09 - contratación directa"/>
    <x v="0"/>
    <s v="26 - contrato de prestacion de servicios de apoyo a la gestion"/>
    <s v="ENERO"/>
    <n v="8"/>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x v="197"/>
    <x v="173"/>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x v="198"/>
    <x v="174"/>
    <s v="09 - contratación directa"/>
    <x v="0"/>
    <s v="25 - contrato de prestacion de servicios profesionales"/>
    <s v="ENERO"/>
    <n v="11"/>
    <n v="0"/>
    <n v="9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x v="199"/>
    <x v="175"/>
    <s v="09 - contratación directa"/>
    <x v="0"/>
    <s v="26 - contrato de prestacion de servicios de apoyo a la gestion"/>
    <s v="ENERO"/>
    <n v="4"/>
    <n v="0"/>
    <n v="1312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x v="200"/>
    <x v="176"/>
    <s v="09 - contratación directa"/>
    <x v="0"/>
    <s v="25 - contrato de prestacion de servicios profesionales"/>
    <s v="AGOSTO"/>
    <n v="8"/>
    <n v="0"/>
    <n v="584125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x v="201"/>
    <x v="177"/>
    <s v="09 - contratación directa"/>
    <x v="0"/>
    <s v="26 - contrato de prestacion de servicios de apoyo a la gestion"/>
    <s v="ENERO"/>
    <n v="5"/>
    <n v="0"/>
    <n v="17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x v="202"/>
    <x v="177"/>
    <s v="09 - contratación directa"/>
    <x v="0"/>
    <s v="26 - contrato de prestacion de servicios de apoyo a la gestion"/>
    <s v="ENERO"/>
    <n v="8"/>
    <n v="0"/>
    <n v="24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x v="203"/>
    <x v="178"/>
    <s v="09 - contratación directa"/>
    <x v="0"/>
    <s v="25 - contrato de prestacion de servicios profesionales"/>
    <s v="ENERO"/>
    <n v="10"/>
    <n v="0"/>
    <n v="49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x v="204"/>
    <x v="179"/>
    <s v="09 - contratación directa"/>
    <x v="0"/>
    <s v="25 - contrato de prestacion de servicios profesionales"/>
    <s v="ENERO"/>
    <n v="6"/>
    <n v="0"/>
    <n v="3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x v="205"/>
    <x v="180"/>
    <s v="09 - contratación directa"/>
    <x v="0"/>
    <s v="25 - contrato de prestacion de servicios profesionales"/>
    <s v="ENERO"/>
    <n v="9"/>
    <n v="0"/>
    <n v="4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x v="206"/>
    <x v="181"/>
    <s v="09 - contratación directa"/>
    <x v="0"/>
    <s v="26 - contrato de prestacion de servicios de apoyo a la gestion"/>
    <s v="ENERO"/>
    <n v="9"/>
    <n v="0"/>
    <n v="22995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x v="207"/>
    <x v="181"/>
    <s v="09 - contratación directa"/>
    <x v="0"/>
    <s v="26 - contrato de prestacion de servicios de apoyo a la gestion"/>
    <s v="ENERO"/>
    <n v="10"/>
    <n v="0"/>
    <n v="2296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x v="208"/>
    <x v="181"/>
    <s v="09 - contratación directa"/>
    <x v="0"/>
    <s v="26 - contrato de prestacion de servicios de apoyo a la gestion"/>
    <s v="ENERO"/>
    <n v="10"/>
    <n v="0"/>
    <n v="1971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x v="209"/>
    <x v="181"/>
    <s v="09 - contratación directa"/>
    <x v="0"/>
    <s v="26 - contrato de prestacion de servicios de apoyo a la gestion"/>
    <s v="ENERO"/>
    <n v="10"/>
    <n v="0"/>
    <n v="1968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x v="210"/>
    <x v="175"/>
    <s v="09 - contratación directa"/>
    <x v="0"/>
    <s v="26 - contrato de prestacion de servicios de apoyo a la gestion"/>
    <s v="ENERO"/>
    <n v="8"/>
    <n v="0"/>
    <n v="2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x v="211"/>
    <x v="182"/>
    <s v="09 - contratación directa"/>
    <x v="0"/>
    <s v="25 - contrato de prestacion de servicios profesionales"/>
    <s v="ENERO"/>
    <n v="9"/>
    <n v="0"/>
    <n v="81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x v="212"/>
    <x v="183"/>
    <s v="09 - contratación directa"/>
    <x v="0"/>
    <s v="26 - contrato de prestacion de servicios de apoyo a la gestion"/>
    <s v="ENERO"/>
    <n v="6"/>
    <n v="0"/>
    <n v="216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x v="213"/>
    <x v="184"/>
    <s v="09 - contratación directa"/>
    <x v="0"/>
    <s v="25 - contrato de prestacion de servicios profesionales"/>
    <s v="ENERO"/>
    <n v="6"/>
    <n v="0"/>
    <n v="3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x v="214"/>
    <x v="185"/>
    <s v="09 - contratación directa"/>
    <x v="0"/>
    <s v="25 - contrato de prestacion de servicios profesionales"/>
    <s v="ENERO"/>
    <n v="8"/>
    <n v="0"/>
    <n v="5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x v="215"/>
    <x v="186"/>
    <s v="09 - contratación directa"/>
    <x v="0"/>
    <s v="25 - contrato de prestacion de servicios profesionales"/>
    <s v="ENERO"/>
    <n v="10"/>
    <n v="0"/>
    <n v="90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x v="216"/>
    <x v="187"/>
    <s v="09 - contratación directa"/>
    <x v="0"/>
    <s v="26 - contrato de prestacion de servicios de apoyo a la gestion"/>
    <s v="ENERO"/>
    <n v="10"/>
    <n v="0"/>
    <n v="32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x v="217"/>
    <x v="187"/>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x v="218"/>
    <x v="188"/>
    <s v="09 - contratación directa"/>
    <x v="0"/>
    <s v="25 - contrato de prestacion de servicios profesionales"/>
    <s v="ENERO"/>
    <n v="6"/>
    <n v="0"/>
    <n v="42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x v="219"/>
    <x v="189"/>
    <s v="09 - contratación directa"/>
    <x v="0"/>
    <s v="26 - contrato de prestacion de servicios de apoyo a la gestion"/>
    <s v="ENERO"/>
    <n v="9"/>
    <n v="0"/>
    <n v="28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x v="220"/>
    <x v="188"/>
    <s v="09 - contratación directa"/>
    <x v="0"/>
    <s v="25 - contrato de prestacion de servicios profesionales"/>
    <s v="ENERO"/>
    <n v="9"/>
    <n v="0"/>
    <n v="4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x v="221"/>
    <x v="187"/>
    <s v="09 - contratación directa"/>
    <x v="0"/>
    <s v="26 - contrato de prestacion de servicios de apoyo a la gestion"/>
    <s v="ENERO"/>
    <n v="7"/>
    <n v="0"/>
    <n v="25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x v="222"/>
    <x v="190"/>
    <s v="09 - contratación directa"/>
    <x v="0"/>
    <s v="25 - contrato de prestacion de servicios profesionales"/>
    <s v="ENERO"/>
    <n v="7"/>
    <n v="15"/>
    <n v="6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x v="223"/>
    <x v="191"/>
    <s v="09 - contratación directa"/>
    <x v="0"/>
    <s v="25 - contrato de prestacion de servicios profesionales"/>
    <s v="ENERO"/>
    <n v="7"/>
    <n v="0"/>
    <n v="31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x v="224"/>
    <x v="192"/>
    <s v="09 - contratación directa"/>
    <x v="0"/>
    <s v="25 - contrato de prestacion de servicios profesionales"/>
    <s v="ENERO"/>
    <n v="8"/>
    <n v="0"/>
    <n v="3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x v="225"/>
    <x v="193"/>
    <s v="17 - acuerdo marco de precios"/>
    <x v="1"/>
    <s v="08 - contrato de suministro"/>
    <s v="MARZO"/>
    <n v="10"/>
    <n v="0"/>
    <n v="111000000"/>
    <s v="NO"/>
    <x v="6"/>
    <s v="Omer Mauricio Rivera Ruiz"/>
    <x v="2"/>
    <s v="Subdirector@ de Gestión del Riesgo"/>
    <x v="1"/>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x v="226"/>
    <x v="194"/>
    <s v="02 - selec. abrev. menor cuantía"/>
    <x v="1"/>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x v="227"/>
    <x v="195"/>
    <s v="04 - contratación mínima cuantía"/>
    <x v="1"/>
    <s v="08 - contrato de suministro"/>
    <s v="JUNIO"/>
    <n v="8"/>
    <n v="0"/>
    <n v="56059000"/>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x v="228"/>
    <x v="196"/>
    <s v="04 - contratación mínima cuantía"/>
    <x v="1"/>
    <s v="08 - contrato de suministro"/>
    <s v="MAYO"/>
    <n v="8"/>
    <n v="0"/>
    <n v="48000000"/>
    <s v="NO"/>
    <x v="6"/>
    <s v="Omer Mauricio Rivera Ruiz"/>
    <x v="2"/>
    <s v="Subdirector@ de Gestión del Riesgo"/>
    <x v="0"/>
    <s v="42141501;42141502;42141503;42142101;42142103;42142105;42142108;42172010;42172013;42172016;42172201;42281502;42291902"/>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x v="229"/>
    <x v="197"/>
    <s v="03 - selec. abrev. subasta inversa"/>
    <x v="1"/>
    <s v="08 - contrato de suministro"/>
    <s v="MAYO"/>
    <n v="8"/>
    <n v="0"/>
    <n v="99000000"/>
    <s v="NO"/>
    <x v="6"/>
    <s v="Omer Mauricio Rivera Ruiz"/>
    <x v="2"/>
    <s v="Subdirector@ de Gestión del Riesgo"/>
    <x v="1"/>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x v="230"/>
    <x v="198"/>
    <s v="04 - contratación mínima cuantía"/>
    <x v="1"/>
    <s v="03 - contrato de prestacion de servicios"/>
    <s v="JULIO"/>
    <n v="8"/>
    <n v="0"/>
    <n v="48000000"/>
    <s v="NO"/>
    <x v="6"/>
    <s v="Omer Mauricio Rivera Ruiz"/>
    <x v="2"/>
    <s v="Subdirector@ de Gestión del Riesgo"/>
    <x v="0"/>
    <s v="70122002; 70122005; 70122006; 70122007; 70122008; 70122009; 70122010; 10110000; 42120000;70122001."/>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x v="231"/>
    <x v="199"/>
    <s v="09 - contratación directa"/>
    <x v="1"/>
    <s v="27 - contrato de prestacion de servicios de mantenimiento"/>
    <s v="JULIO"/>
    <n v="8"/>
    <n v="0"/>
    <n v="80000000"/>
    <s v="NO"/>
    <x v="6"/>
    <s v="Omer Mauricio Rivera Ruiz"/>
    <x v="2"/>
    <s v="Subdirector@ de Gestión del Riesgo"/>
    <x v="0"/>
    <s v="72154101, 40151601, 8110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x v="232"/>
    <x v="200"/>
    <s v="03 - selec. abrev. subasta inversa"/>
    <x v="1"/>
    <s v="03 - contrato de prestacion de servicios"/>
    <s v="MAYO"/>
    <n v="8"/>
    <n v="0"/>
    <n v="3419000"/>
    <s v="NO"/>
    <x v="6"/>
    <s v="Omer Mauricio Rivera Ruiz"/>
    <x v="2"/>
    <s v="Subdirector@ de Gestión del Riesgo"/>
    <x v="1"/>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x v="233"/>
    <x v="201"/>
    <s v="09 - contratación directa"/>
    <x v="1"/>
    <s v="03 - contrato de prestacion de servicios"/>
    <s v="AGOSTO"/>
    <n v="8"/>
    <n v="0"/>
    <n v="45000000"/>
    <s v="NO"/>
    <x v="6"/>
    <s v="Omer Mauricio Rivera Ruiz"/>
    <x v="2"/>
    <s v="Subdirector@ de Gestión del Riesgo"/>
    <x v="0"/>
    <s v="46161600;72101509;73152108;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x v="234"/>
    <x v="202"/>
    <s v="09 - contratación directa"/>
    <x v="1"/>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x v="235"/>
    <x v="203"/>
    <s v="09 - contratación directa"/>
    <x v="1"/>
    <s v="27 - contrato de prestacion de servicios de mantenimiento"/>
    <s v="SEPTIEMBRE"/>
    <n v="6"/>
    <n v="0"/>
    <n v="48000000"/>
    <s v="NO"/>
    <x v="6"/>
    <s v="Omer Mauricio Rivera Ruiz"/>
    <x v="2"/>
    <s v="Subdirector@ de Gestión del Riesgo"/>
    <x v="0"/>
    <s v="46182005; 46171613; 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x v="236"/>
    <x v="204"/>
    <s v="09 - contratación directa"/>
    <x v="1"/>
    <s v="03 - contrato de prestacion de servicios"/>
    <s v="MARZO"/>
    <n v="4"/>
    <n v="0"/>
    <n v="26104301"/>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x v="237"/>
    <x v="205"/>
    <s v="09 - contratación directa"/>
    <x v="1"/>
    <s v="03 - contrato de prestacion de servicios"/>
    <s v="AGOSTO"/>
    <n v="5"/>
    <n v="0"/>
    <n v="50000000"/>
    <s v="NO"/>
    <x v="6"/>
    <s v="Omer Mauricio Rivera Ruiz"/>
    <x v="2"/>
    <s v="Subdirector@ de Gestión del Riesgo"/>
    <x v="0"/>
    <s v="72101509;4619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x v="238"/>
    <x v="206"/>
    <s v="04 - contratación mínima cuantía"/>
    <x v="1"/>
    <s v="03 - contrato de prestacion de servicios"/>
    <s v="MAYO"/>
    <n v="12"/>
    <n v="0"/>
    <n v="47720273"/>
    <s v="NO"/>
    <x v="6"/>
    <s v="Omer Mauricio Rivera Ruiz"/>
    <x v="1"/>
    <s v="Subdirector@ de Gestión Corporativa"/>
    <x v="1"/>
    <n v="78181505"/>
    <x v="4"/>
    <s v="No a"/>
    <s v="li"/>
    <s v="NA"/>
    <s v="NA"/>
    <s v="NA"/>
    <s v="N/A"/>
    <s v="N/A"/>
    <s v="N/A-N/A"/>
    <s v="N/A"/>
    <s v="N/A"/>
    <s v="N/A_N/A"/>
    <s v="N/A-N/A N/A_N/A"/>
    <x v="1"/>
    <x v="1"/>
    <x v="6"/>
    <s v="Si Secop "/>
    <s v="20260257-BS-No a-li-Contratar el servicio de revision técnico mecánica y de emision de gases contaminantes para los vehiculos que forman parte del parque automotor de la Unidad Administrativa Especial Cuerpo Oficial de Bomberos de Bogotá - UAECOB-SBLG"/>
  </r>
  <r>
    <x v="239"/>
    <x v="207"/>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x v="240"/>
    <x v="207"/>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x v="241"/>
    <x v="207"/>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x v="242"/>
    <x v="207"/>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x v="243"/>
    <x v="207"/>
    <s v="09 - contratación directa"/>
    <x v="0"/>
    <s v="26 - contrato de prestacion de servicios de apoyo a la gestion"/>
    <s v="ENERO"/>
    <n v="10"/>
    <n v="0"/>
    <n v="3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x v="244"/>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x v="245"/>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x v="246"/>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x v="247"/>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x v="248"/>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x v="249"/>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x v="250"/>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x v="251"/>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x v="252"/>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x v="253"/>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x v="254"/>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x v="255"/>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x v="256"/>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x v="257"/>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x v="258"/>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x v="259"/>
    <x v="208"/>
    <s v="09 - contratación directa"/>
    <x v="0"/>
    <s v="26 - contrato de prestacion de servicios de apoyo a la gestion"/>
    <s v="ENERO"/>
    <n v="9"/>
    <n v="0"/>
    <n v="2691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x v="260"/>
    <x v="209"/>
    <s v="09 - contratación directa"/>
    <x v="0"/>
    <s v="26 - contrato de prestacion de servicios de apoyo a la gestion"/>
    <s v="ENERO"/>
    <n v="9"/>
    <n v="0"/>
    <n v="29558952"/>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x v="261"/>
    <x v="210"/>
    <s v="09 - contratación directa"/>
    <x v="0"/>
    <s v="25 - contrato de prestacion de servicios profesionales"/>
    <s v="ENERO"/>
    <n v="9"/>
    <n v="0"/>
    <n v="4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x v="262"/>
    <x v="210"/>
    <s v="09 - contratación directa"/>
    <x v="0"/>
    <s v="25 - contrato de prestacion de servicios profesionales"/>
    <s v="ENERO"/>
    <n v="9"/>
    <n v="0"/>
    <n v="4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x v="263"/>
    <x v="211"/>
    <s v="09 - contratación directa"/>
    <x v="0"/>
    <s v="26 - contrato de prestacion de servicios de apoyo a la gestion"/>
    <s v="ENERO"/>
    <n v="9"/>
    <n v="0"/>
    <n v="333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x v="264"/>
    <x v="211"/>
    <s v="09 - contratación directa"/>
    <x v="0"/>
    <s v="26 - contrato de prestacion de servicios de apoyo a la gestion"/>
    <s v="ENERO"/>
    <n v="9"/>
    <n v="0"/>
    <n v="33178419"/>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x v="265"/>
    <x v="212"/>
    <s v="09 - contratación directa"/>
    <x v="0"/>
    <s v="26 - contrato de prestacion de servicios de apoyo a la gestion"/>
    <s v="ENERO"/>
    <n v="3"/>
    <n v="15"/>
    <n v="15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x v="266"/>
    <x v="213"/>
    <s v="09 - contratación directa"/>
    <x v="0"/>
    <s v="25 - contrato de prestacion de servicios profesionales"/>
    <s v="ENERO"/>
    <n v="5"/>
    <n v="15"/>
    <n v="52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x v="267"/>
    <x v="214"/>
    <s v="09 - contratación directa"/>
    <x v="0"/>
    <s v="25 - contrato de prestacion de servicios profesionales"/>
    <s v="ENERO"/>
    <n v="10"/>
    <n v="0"/>
    <n v="8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x v="268"/>
    <x v="215"/>
    <s v="09 - contratación directa"/>
    <x v="0"/>
    <s v="25 - contrato de prestacion de servicios profesionales"/>
    <s v="ENERO"/>
    <n v="10"/>
    <n v="0"/>
    <n v="49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x v="269"/>
    <x v="216"/>
    <s v="09 - contratación directa"/>
    <x v="0"/>
    <s v="25 - contrato de prestacion de servicios profesionales"/>
    <s v="ENERO"/>
    <n v="7"/>
    <n v="0"/>
    <n v="4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x v="270"/>
    <x v="217"/>
    <s v="09 - contratación directa"/>
    <x v="0"/>
    <s v="25 - contrato de prestacion de servicios profesionales"/>
    <s v="JUNIO"/>
    <n v="7"/>
    <n v="15"/>
    <n v="5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x v="271"/>
    <x v="218"/>
    <s v="09 - contratación directa"/>
    <x v="0"/>
    <s v="25 - contrato de prestacion de servicios profesionales"/>
    <s v="ENERO"/>
    <n v="8"/>
    <n v="0"/>
    <n v="41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x v="272"/>
    <x v="219"/>
    <s v="09 - contratación directa"/>
    <x v="0"/>
    <s v="25 - contrato de prestacion de servicios profesionales"/>
    <s v="ENERO"/>
    <n v="10"/>
    <n v="0"/>
    <n v="64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x v="273"/>
    <x v="220"/>
    <s v="09 - contratación directa"/>
    <x v="0"/>
    <s v="25 - contrato de prestacion de servicios profesionales"/>
    <s v="ENERO"/>
    <n v="8"/>
    <n v="0"/>
    <n v="65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x v="274"/>
    <x v="221"/>
    <s v="09 - contratación directa"/>
    <x v="0"/>
    <s v="25 - contrato de prestacion de servicios profesionales"/>
    <s v="ENERO"/>
    <n v="10"/>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x v="275"/>
    <x v="222"/>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x v="276"/>
    <x v="221"/>
    <s v="09 - contratación directa"/>
    <x v="0"/>
    <s v="25 - contrato de prestacion de servicios profesionales"/>
    <s v="ENERO"/>
    <n v="10"/>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x v="277"/>
    <x v="223"/>
    <s v="09 - contratación directa"/>
    <x v="0"/>
    <s v="25 - contrato de prestacion de servicios profesionales"/>
    <s v="ENERO"/>
    <n v="5"/>
    <n v="0"/>
    <n v="3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x v="278"/>
    <x v="224"/>
    <s v="09 - contratación directa"/>
    <x v="0"/>
    <s v="25 - contrato de prestacion de servicios profesionales"/>
    <s v="ENERO"/>
    <n v="4"/>
    <n v="15"/>
    <n v="427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x v="279"/>
    <x v="225"/>
    <s v="09 - contratación directa"/>
    <x v="0"/>
    <s v="25 - contrato de prestacion de servicios profesionales"/>
    <s v="ENERO"/>
    <n v="4"/>
    <n v="15"/>
    <n v="427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x v="280"/>
    <x v="226"/>
    <s v="09 - contratación directa"/>
    <x v="0"/>
    <s v="25 - contrato de prestacion de servicios profesionales"/>
    <s v="ENERO"/>
    <n v="3"/>
    <n v="0"/>
    <n v="28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x v="281"/>
    <x v="227"/>
    <s v="09 - contratación directa"/>
    <x v="0"/>
    <s v="25 - contrato de prestacion de servicios profesionales"/>
    <s v="ENERO"/>
    <n v="8"/>
    <n v="0"/>
    <n v="7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x v="282"/>
    <x v="228"/>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x v="283"/>
    <x v="229"/>
    <s v="09 - contratación directa"/>
    <x v="0"/>
    <s v="25 - contrato de prestacion de servicios profesionales"/>
    <s v="ENERO"/>
    <n v="8"/>
    <n v="0"/>
    <n v="3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x v="284"/>
    <x v="230"/>
    <s v="09 - contratación directa"/>
    <x v="0"/>
    <s v="25 - contrato de prestacion de servicios profesionales"/>
    <s v="ENERO"/>
    <n v="10"/>
    <n v="0"/>
    <n v="9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x v="285"/>
    <x v="231"/>
    <s v="09 - contratación directa"/>
    <x v="0"/>
    <s v="25 - contrato de prestacion de servicios profesionales"/>
    <s v="ENERO"/>
    <n v="8"/>
    <n v="0"/>
    <n v="44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x v="286"/>
    <x v="232"/>
    <s v="09 - contratación directa"/>
    <x v="0"/>
    <s v="25 - contrato de prestacion de servicios profesionales"/>
    <s v="ENERO"/>
    <n v="9"/>
    <n v="0"/>
    <n v="29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x v="287"/>
    <x v="233"/>
    <s v="09 - contratación directa"/>
    <x v="0"/>
    <s v="25 - contrato de prestacion de servicios profesionales"/>
    <s v="ENERO"/>
    <n v="10"/>
    <n v="0"/>
    <n v="6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x v="288"/>
    <x v="234"/>
    <s v="09 - contratación directa"/>
    <x v="0"/>
    <s v="25 - contrato de prestacion de servicios profesionales"/>
    <s v="ENERO"/>
    <n v="10"/>
    <n v="0"/>
    <n v="66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x v="289"/>
    <x v="235"/>
    <s v="09 - contratación directa"/>
    <x v="0"/>
    <s v="25 - contrato de prestacion de servicios profesionales"/>
    <s v="ENERO"/>
    <n v="4"/>
    <n v="15"/>
    <n v="29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x v="290"/>
    <x v="236"/>
    <s v="09 - contratación directa"/>
    <x v="0"/>
    <s v="25 - contrato de prestacion de servicios profesionales"/>
    <s v="ENERO"/>
    <n v="4"/>
    <n v="15"/>
    <n v="31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x v="291"/>
    <x v="237"/>
    <s v="09 - contratación directa"/>
    <x v="0"/>
    <s v="25 - contrato de prestacion de servicios profesionales"/>
    <s v="ENERO"/>
    <n v="8"/>
    <n v="0"/>
    <n v="57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x v="292"/>
    <x v="238"/>
    <s v="09 - contratación directa"/>
    <x v="0"/>
    <s v="25 - contrato de prestacion de servicios profesionales"/>
    <s v="ENERO"/>
    <n v="4"/>
    <n v="15"/>
    <n v="31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x v="293"/>
    <x v="239"/>
    <s v="09 - contratación directa"/>
    <x v="0"/>
    <s v="25 - contrato de prestacion de servicios profesionales"/>
    <s v="ENERO"/>
    <n v="5"/>
    <n v="0"/>
    <n v="4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x v="294"/>
    <x v="240"/>
    <s v="09 - contratación directa"/>
    <x v="0"/>
    <s v="25 - contrato de prestacion de servicios profesionales"/>
    <s v="ENERO"/>
    <n v="9"/>
    <n v="0"/>
    <n v="67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x v="295"/>
    <x v="241"/>
    <s v="09 - contratación directa"/>
    <x v="0"/>
    <s v="25 - contrato de prestacion de servicios profesionales"/>
    <s v="ENERO"/>
    <n v="5"/>
    <n v="0"/>
    <n v="47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x v="296"/>
    <x v="242"/>
    <s v="09 - contratación directa"/>
    <x v="0"/>
    <s v="25 - contrato de prestacion de servicios profesionales"/>
    <s v="ENERO"/>
    <n v="5"/>
    <n v="0"/>
    <n v="35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x v="297"/>
    <x v="243"/>
    <s v="09 - contratación directa"/>
    <x v="0"/>
    <s v="25 - contrato de prestacion de servicios profesionales"/>
    <s v="ENERO"/>
    <n v="9"/>
    <n v="0"/>
    <n v="77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x v="298"/>
    <x v="244"/>
    <s v="91 - n/a acto administrativo (resolución, decreto, acuerdo, etc.)"/>
    <x v="1"/>
    <s v="12 - resolucion"/>
    <s v="ENERO"/>
    <n v="12"/>
    <n v="0"/>
    <n v="6914369000"/>
    <s v="NO"/>
    <x v="7"/>
    <s v="Yenire Yohansy Lozano Ascanio"/>
    <x v="2"/>
    <s v="Subdirector@ de Gestión del Riesgo"/>
    <x v="2"/>
    <n v="80111600"/>
    <x v="12"/>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x v="299"/>
    <x v="245"/>
    <s v="09 - contratación directa"/>
    <x v="0"/>
    <s v="25 - contrato de prestacion de servicios profesionales"/>
    <s v="JULIO"/>
    <n v="12"/>
    <n v="0"/>
    <n v="0"/>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x v="300"/>
    <x v="246"/>
    <s v="09 - contratación directa"/>
    <x v="0"/>
    <s v="26 - contrato de prestacion de servicios de apoyo a la gestion"/>
    <s v="JULIO"/>
    <n v="5"/>
    <n v="0"/>
    <n v="226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x v="301"/>
    <x v="247"/>
    <s v="09 - contratación directa"/>
    <x v="0"/>
    <s v="25 - contrato de prestacion de servicios profesionales"/>
    <s v="JULIO"/>
    <n v="6"/>
    <n v="15"/>
    <n v="630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x v="302"/>
    <x v="248"/>
    <s v="09 - contratación directa"/>
    <x v="0"/>
    <s v="25 - contrato de prestacion de servicios profesionales"/>
    <s v="JULIO"/>
    <n v="4"/>
    <n v="0"/>
    <n v="26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x v="303"/>
    <x v="249"/>
    <s v="09 - contratación directa"/>
    <x v="0"/>
    <s v="25 - contrato de prestacion de servicios profesionales"/>
    <s v="JUNIO"/>
    <n v="6"/>
    <n v="15"/>
    <n v="630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x v="304"/>
    <x v="250"/>
    <s v="09 - contratación directa"/>
    <x v="0"/>
    <s v="25 - contrato de prestacion de servicios profesionales"/>
    <s v="JULIO"/>
    <n v="6"/>
    <n v="15"/>
    <n v="643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x v="305"/>
    <x v="251"/>
    <s v="09 - contratación directa"/>
    <x v="0"/>
    <s v="25 - contrato de prestacion de servicios profesionales"/>
    <s v="JULIO"/>
    <n v="6"/>
    <n v="15"/>
    <n v="6435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x v="306"/>
    <x v="252"/>
    <s v="09 - contratación directa"/>
    <x v="0"/>
    <s v="25 - contrato de prestacion de servicios profesionales"/>
    <s v="JULIO"/>
    <n v="6"/>
    <n v="0"/>
    <n v="4104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x v="307"/>
    <x v="253"/>
    <s v="09 - contratación directa"/>
    <x v="0"/>
    <s v="25 - contrato de prestacion de servicios profesionales"/>
    <s v="JULIO"/>
    <n v="6"/>
    <n v="0"/>
    <n v="432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x v="308"/>
    <x v="254"/>
    <s v="09 - contratación directa"/>
    <x v="0"/>
    <s v="25 - contrato de prestacion de servicios profesionales"/>
    <s v="JUNIO"/>
    <n v="6"/>
    <n v="15"/>
    <n v="552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x v="309"/>
    <x v="255"/>
    <s v="09 - contratación directa"/>
    <x v="0"/>
    <s v="25 - contrato de prestacion de servicios profesionales"/>
    <s v="JUNIO"/>
    <n v="6"/>
    <n v="15"/>
    <n v="1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x v="310"/>
    <x v="256"/>
    <s v="09 - contratación directa"/>
    <x v="0"/>
    <s v="26 - contrato de prestacion de servicios de apoyo a la gestion"/>
    <s v="JULIO"/>
    <n v="6"/>
    <n v="0"/>
    <n v="18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x v="311"/>
    <x v="257"/>
    <s v="03 - selec. abrev. subasta inversa"/>
    <x v="1"/>
    <s v="06 - contrato de compraventa"/>
    <s v="JULIO"/>
    <n v="6"/>
    <n v="0"/>
    <n v="1744500000"/>
    <s v="NO"/>
    <x v="7"/>
    <s v="Yenire Yohansy Lozano Ascanio"/>
    <x v="1"/>
    <s v="Subdirector@ de Gestión Corporativa"/>
    <x v="1"/>
    <s v="53102710;_x000a_53101900;_x000a_53101800"/>
    <x v="4"/>
    <s v="No a"/>
    <s v="li"/>
    <s v="NA"/>
    <s v="NA"/>
    <s v="NA"/>
    <s v="N/A"/>
    <s v="N/A"/>
    <s v="N/A-N/A"/>
    <s v="N/A"/>
    <s v="N/A"/>
    <s v="N/A_N/A"/>
    <s v="N/A-N/A N/A_N/A"/>
    <x v="1"/>
    <x v="1"/>
    <x v="19"/>
    <s v="Si Secop "/>
    <s v="20260331-BS-No a-li-Adquisición de uniformes y chaquetas para el personal operativo de la UAECOB"/>
  </r>
  <r>
    <x v="312"/>
    <x v="258"/>
    <s v="09 - contratación directa"/>
    <x v="0"/>
    <s v="25 - contrato de prestacion de servicios profesionales"/>
    <s v="JUNIO"/>
    <n v="6"/>
    <n v="15"/>
    <n v="46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x v="313"/>
    <x v="259"/>
    <s v="09 - contratación directa"/>
    <x v="0"/>
    <s v="26 - contrato de prestacion de servicios de apoyo a la gestion"/>
    <s v="ENERO"/>
    <n v="10"/>
    <n v="0"/>
    <n v="375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x v="314"/>
    <x v="260"/>
    <s v="09 - contratación directa"/>
    <x v="0"/>
    <s v="25 - contrato de prestacion de servicios profesionales"/>
    <s v="ENERO"/>
    <n v="10"/>
    <n v="0"/>
    <n v="56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x v="315"/>
    <x v="261"/>
    <s v="09 - contratación directa"/>
    <x v="0"/>
    <s v="25 - contrato de prestacion de servicios profesionales"/>
    <s v="ENERO"/>
    <n v="8"/>
    <n v="0"/>
    <n v="3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x v="316"/>
    <x v="262"/>
    <s v="09 - contratación directa"/>
    <x v="0"/>
    <s v="26 - contrato de prestacion de servicios de apoyo a la gestion"/>
    <s v="ENERO"/>
    <n v="8"/>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x v="317"/>
    <x v="263"/>
    <s v="09 - contratación directa"/>
    <x v="0"/>
    <s v="25 - contrato de prestacion de servicios profesionales"/>
    <s v="ENERO"/>
    <n v="7"/>
    <n v="15"/>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x v="318"/>
    <x v="264"/>
    <s v="09 - contratación directa"/>
    <x v="0"/>
    <s v="25 - contrato de prestacion de servicios profesionales"/>
    <s v="ENERO"/>
    <n v="10"/>
    <n v="0"/>
    <n v="7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x v="319"/>
    <x v="265"/>
    <s v="09 - contratación directa"/>
    <x v="0"/>
    <s v="25 - contrato de prestacion de servicios profesionales"/>
    <s v="ENERO"/>
    <n v="10"/>
    <n v="0"/>
    <n v="7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x v="320"/>
    <x v="266"/>
    <s v="09 - contratación directa"/>
    <x v="0"/>
    <s v="25 - contrato de prestacion de servicios profesionales"/>
    <s v="ENERO"/>
    <n v="8"/>
    <n v="0"/>
    <n v="728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x v="321"/>
    <x v="267"/>
    <s v="09 - contratación directa"/>
    <x v="0"/>
    <s v="25 - contrato de prestacion de servicios profesionales"/>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x v="322"/>
    <x v="267"/>
    <s v="09 - contratación directa"/>
    <x v="0"/>
    <s v="25 - contrato de prestacion de servicios profesionales"/>
    <s v="ENERO"/>
    <n v="9"/>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x v="323"/>
    <x v="268"/>
    <s v="09 - contratación directa"/>
    <x v="0"/>
    <s v="25 - contrato de prestacion de servicios profesionales"/>
    <s v="ENERO"/>
    <n v="8"/>
    <n v="0"/>
    <n v="4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x v="324"/>
    <x v="268"/>
    <s v="09 - contratación directa"/>
    <x v="0"/>
    <s v="25 - contrato de prestacion de servicios profesionales"/>
    <s v="ENERO"/>
    <n v="8"/>
    <n v="0"/>
    <n v="4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x v="325"/>
    <x v="268"/>
    <s v="09 - contratación directa"/>
    <x v="0"/>
    <s v="25 - contrato de prestacion de servicios profesionales"/>
    <s v="ENERO"/>
    <n v="8"/>
    <n v="0"/>
    <n v="4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x v="326"/>
    <x v="268"/>
    <s v="09 - contratación directa"/>
    <x v="0"/>
    <s v="25 - contrato de prestacion de servicios profesionales"/>
    <s v="ENERO"/>
    <n v="10"/>
    <n v="0"/>
    <n v="7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x v="327"/>
    <x v="268"/>
    <s v="09 - contratación directa"/>
    <x v="0"/>
    <s v="25 - contrato de prestacion de servicios profesionales"/>
    <s v="ENERO"/>
    <n v="10"/>
    <n v="0"/>
    <n v="7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x v="328"/>
    <x v="269"/>
    <s v="09 - contratación directa"/>
    <x v="0"/>
    <s v="26 - contrato de prestacion de servicios de apoyo a la gestion"/>
    <s v="ENERO"/>
    <n v="10"/>
    <n v="0"/>
    <n v="449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x v="329"/>
    <x v="269"/>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x v="330"/>
    <x v="269"/>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x v="331"/>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x v="332"/>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x v="333"/>
    <x v="270"/>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x v="334"/>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x v="335"/>
    <x v="269"/>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x v="336"/>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x v="337"/>
    <x v="269"/>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x v="338"/>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x v="339"/>
    <x v="269"/>
    <s v="09 - contratación directa"/>
    <x v="0"/>
    <s v="26 - contrato de prestacion de servicios de apoyo a la gestion"/>
    <s v="ENERO"/>
    <n v="10"/>
    <n v="0"/>
    <n v="4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x v="340"/>
    <x v="269"/>
    <s v="09 - contratación directa"/>
    <x v="0"/>
    <s v="26 - contrato de prestacion de servicios de apoyo a la gestion"/>
    <s v="ENERO"/>
    <n v="10"/>
    <n v="0"/>
    <n v="3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x v="341"/>
    <x v="269"/>
    <s v="09 - contratación directa"/>
    <x v="0"/>
    <s v="26 - contrato de prestacion de servicios de apoyo a la gestion"/>
    <s v="ENERO"/>
    <n v="10"/>
    <n v="0"/>
    <n v="2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x v="342"/>
    <x v="269"/>
    <s v="09 - contratación directa"/>
    <x v="0"/>
    <s v="26 - contrato de prestacion de servicios de apoyo a la gestion"/>
    <s v="ENERO"/>
    <n v="10"/>
    <n v="0"/>
    <n v="2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x v="343"/>
    <x v="264"/>
    <s v="09 - contratación directa"/>
    <x v="0"/>
    <s v="25 - contrato de prestacion de servicios profesionales"/>
    <s v="ENERO"/>
    <n v="7"/>
    <n v="0"/>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x v="344"/>
    <x v="271"/>
    <s v="09 - contratación directa"/>
    <x v="0"/>
    <s v="25 - contrato de prestacion de servicios profesionales"/>
    <s v="ENERO"/>
    <n v="10"/>
    <n v="0"/>
    <n v="44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x v="345"/>
    <x v="272"/>
    <s v="09 - contratación directa"/>
    <x v="0"/>
    <s v="25 - contrato de prestacion de servicios profesionales"/>
    <s v="ENERO"/>
    <n v="10"/>
    <n v="0"/>
    <n v="4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x v="346"/>
    <x v="273"/>
    <s v="09 - contratación directa"/>
    <x v="0"/>
    <s v="25 - contrato de prestacion de servicios profesionales"/>
    <s v="ENERO"/>
    <n v="10"/>
    <n v="0"/>
    <n v="4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x v="347"/>
    <x v="273"/>
    <s v="09 - contratación directa"/>
    <x v="0"/>
    <s v="25 - contrato de prestacion de servicios profesionales"/>
    <s v="ENERO"/>
    <n v="10"/>
    <n v="0"/>
    <n v="4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x v="348"/>
    <x v="274"/>
    <s v="09 - contratación directa"/>
    <x v="0"/>
    <s v="25 - contrato de prestacion de servicios profesionales"/>
    <s v="ENERO"/>
    <n v="10"/>
    <n v="0"/>
    <n v="3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x v="349"/>
    <x v="274"/>
    <s v="09 - contratación directa"/>
    <x v="0"/>
    <s v="25 - contrato de prestacion de servicios profesionales"/>
    <s v="ENERO"/>
    <n v="10"/>
    <n v="0"/>
    <n v="3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x v="350"/>
    <x v="275"/>
    <s v="09 - contratación directa"/>
    <x v="0"/>
    <s v="25 - contrato de prestacion de servicios profesionales"/>
    <s v="ENERO"/>
    <n v="10"/>
    <n v="0"/>
    <n v="304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x v="351"/>
    <x v="276"/>
    <s v="09 - contratación directa"/>
    <x v="0"/>
    <s v="25 - contrato de prestacion de servicios profesionales"/>
    <s v="ENERO"/>
    <n v="8"/>
    <n v="0"/>
    <n v="63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x v="352"/>
    <x v="277"/>
    <s v="09 - contratación directa"/>
    <x v="0"/>
    <s v="25 - contrato de prestacion de servicios profesionales"/>
    <s v="ENERO"/>
    <n v="10"/>
    <n v="0"/>
    <n v="49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x v="353"/>
    <x v="278"/>
    <s v="09 - contratación directa"/>
    <x v="0"/>
    <s v="25 - contrato de prestacion de servicios profesionales"/>
    <s v="ENERO"/>
    <n v="10"/>
    <n v="0"/>
    <n v="56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x v="354"/>
    <x v="279"/>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x v="355"/>
    <x v="279"/>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x v="356"/>
    <x v="279"/>
    <s v="09 - contratación directa"/>
    <x v="0"/>
    <s v="25 - contrato de prestacion de servicios profesionales"/>
    <s v="ENERO"/>
    <n v="10"/>
    <n v="0"/>
    <n v="4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x v="357"/>
    <x v="280"/>
    <s v="09 - contratación directa"/>
    <x v="0"/>
    <s v="25 - contrato de prestacion de servicios profesionales"/>
    <s v="ENERO"/>
    <n v="8"/>
    <n v="0"/>
    <n v="728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x v="358"/>
    <x v="271"/>
    <s v="09 - contratación directa"/>
    <x v="0"/>
    <s v="25 - contrato de prestacion de servicios profesionales"/>
    <s v="ENERO"/>
    <n v="10"/>
    <n v="0"/>
    <n v="44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x v="359"/>
    <x v="271"/>
    <s v="09 - contratación directa"/>
    <x v="0"/>
    <s v="25 - contrato de prestacion de servicios profesionales"/>
    <s v="ENERO"/>
    <n v="10"/>
    <n v="0"/>
    <n v="48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x v="360"/>
    <x v="281"/>
    <s v="09 - contratación directa"/>
    <x v="0"/>
    <s v="26 - contrato de prestacion de servicios de apoyo a la gestion"/>
    <s v="ENERO"/>
    <n v="10"/>
    <n v="0"/>
    <n v="32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x v="361"/>
    <x v="282"/>
    <s v="09 - contratación directa"/>
    <x v="0"/>
    <s v="25 - contrato de prestacion de servicios profesionales"/>
    <s v="ENERO"/>
    <n v="8"/>
    <n v="0"/>
    <n v="728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x v="362"/>
    <x v="283"/>
    <s v="09 - contratación directa"/>
    <x v="0"/>
    <s v="25 - contrato de prestacion de servicios profesionales"/>
    <s v="ENERO"/>
    <n v="10"/>
    <n v="0"/>
    <n v="8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x v="363"/>
    <x v="283"/>
    <s v="09 - contratación directa"/>
    <x v="0"/>
    <s v="25 - contrato de prestacion de servicios profesionales"/>
    <s v="ENERO"/>
    <n v="8"/>
    <n v="0"/>
    <n v="42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x v="364"/>
    <x v="283"/>
    <s v="09 - contratación directa"/>
    <x v="0"/>
    <s v="25 - contrato de prestacion de servicios profesionales"/>
    <s v="ENERO"/>
    <n v="6"/>
    <n v="0"/>
    <n v="5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x v="365"/>
    <x v="284"/>
    <s v="01 - licitación pública"/>
    <x v="1"/>
    <s v="11 - orden de prestacion de servicios"/>
    <s v="JUNIO"/>
    <n v="8"/>
    <n v="0"/>
    <n v="720000000"/>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x v="366"/>
    <x v="285"/>
    <s v="03 - selec. abrev. subasta inversa"/>
    <x v="1"/>
    <s v="06 - contrato de compraventa"/>
    <s v="JULIO"/>
    <n v="3"/>
    <n v="0"/>
    <n v="107000000"/>
    <s v="NO"/>
    <x v="8"/>
    <s v="William Tovar Segura"/>
    <x v="2"/>
    <s v="Subdirector@ de Gestión del Riesgo"/>
    <x v="0"/>
    <s v="53101801,53101803,53101501,53101503"/>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x v="367"/>
    <x v="286"/>
    <s v="03 - selec. abrev. subasta inversa"/>
    <x v="1"/>
    <s v="06 - contrato de compraventa"/>
    <s v="JULIO"/>
    <n v="3"/>
    <n v="0"/>
    <n v="60000000"/>
    <s v="NO"/>
    <x v="8"/>
    <s v="William Tovar Segura"/>
    <x v="2"/>
    <s v="Subdirector@ de Gestión del Riesgo"/>
    <x v="0"/>
    <s v="14111500,45101700, 45101800, 45101900, 451020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x v="368"/>
    <x v="287"/>
    <s v="01 - licitación pública"/>
    <x v="1"/>
    <s v="03 - contrato de prestacion de servicios"/>
    <s v="ENERO"/>
    <n v="12"/>
    <n v="0"/>
    <n v="1447882000"/>
    <s v="SI"/>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x v="369"/>
    <x v="288"/>
    <s v="01 - licitación pública"/>
    <x v="1"/>
    <s v="05 - contrato de obra"/>
    <s v="ENERO"/>
    <n v="18"/>
    <n v="0"/>
    <n v="4336206000"/>
    <s v="SI"/>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x v="370"/>
    <x v="289"/>
    <s v="06 - concurso de méritos abierto"/>
    <x v="1"/>
    <s v="14 - contrato de interventoria"/>
    <s v="ENERO"/>
    <n v="18"/>
    <n v="0"/>
    <n v="831592000"/>
    <s v="SI"/>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x v="371"/>
    <x v="290"/>
    <s v="09 - contratación directa"/>
    <x v="0"/>
    <s v="25 - contrato de prestacion de servicios profesionales"/>
    <s v="ENERO"/>
    <n v="11"/>
    <n v="0"/>
    <n v="81102791"/>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x v="372"/>
    <x v="291"/>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x v="373"/>
    <x v="292"/>
    <s v="09 - contratación directa"/>
    <x v="0"/>
    <s v="25 - contrato de prestacion de servicios profesionales"/>
    <s v="ENERO"/>
    <n v="11"/>
    <n v="0"/>
    <n v="563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x v="374"/>
    <x v="293"/>
    <s v="09 - contratación directa"/>
    <x v="0"/>
    <s v="25 - contrato de prestacion de servicios profesionales"/>
    <s v="ENERO"/>
    <n v="10"/>
    <n v="0"/>
    <n v="70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x v="375"/>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x v="376"/>
    <x v="295"/>
    <s v="09 - contratación directa"/>
    <x v="0"/>
    <s v="25 - contrato de prestacion de servicios profesionales"/>
    <s v="ENERO"/>
    <n v="11"/>
    <n v="0"/>
    <n v="9996869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x v="377"/>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x v="378"/>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x v="379"/>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x v="380"/>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x v="381"/>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x v="382"/>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x v="383"/>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x v="384"/>
    <x v="296"/>
    <s v="09 - contratación directa"/>
    <x v="0"/>
    <s v="25 - contrato de prestacion de servicios profesionales"/>
    <s v="ENERO"/>
    <n v="11"/>
    <n v="0"/>
    <n v="88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x v="385"/>
    <x v="297"/>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x v="386"/>
    <x v="298"/>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x v="387"/>
    <x v="299"/>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x v="388"/>
    <x v="300"/>
    <s v="09 - contratación directa"/>
    <x v="0"/>
    <s v="25 - contrato de prestacion de servicios profesionales"/>
    <s v="ENERO"/>
    <n v="4"/>
    <n v="0"/>
    <n v="2949192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x v="389"/>
    <x v="301"/>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x v="390"/>
    <x v="301"/>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x v="391"/>
    <x v="301"/>
    <s v="09 - contratación directa"/>
    <x v="0"/>
    <s v="26 - contrato de prestacion de servicios de apoyo a la gestion"/>
    <s v="ENERO"/>
    <n v="11"/>
    <n v="0"/>
    <n v="3087269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x v="392"/>
    <x v="302"/>
    <s v="09 - contratación directa"/>
    <x v="0"/>
    <s v="25 - contrato de prestacion de servicios profesionales"/>
    <s v="ENERO"/>
    <n v="11"/>
    <n v="0"/>
    <n v="10203399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x v="393"/>
    <x v="303"/>
    <s v="09 - contratación directa"/>
    <x v="0"/>
    <s v="25 - contrato de prestacion de servicios profesionales"/>
    <s v="ENERO"/>
    <n v="11"/>
    <n v="0"/>
    <n v="8239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x v="394"/>
    <x v="304"/>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x v="395"/>
    <x v="305"/>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x v="396"/>
    <x v="306"/>
    <s v="09 - contratación directa"/>
    <x v="0"/>
    <s v="26 - contrato de prestacion de servicios de apoyo a la gestion"/>
    <s v="ENERO"/>
    <n v="11"/>
    <n v="0"/>
    <n v="4042851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x v="397"/>
    <x v="306"/>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x v="398"/>
    <x v="306"/>
    <s v="09 - contratación directa"/>
    <x v="0"/>
    <s v="26 - contrato de prestacion de servicios de apoyo a la gestion"/>
    <s v="ENERO"/>
    <n v="11"/>
    <n v="0"/>
    <n v="341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x v="399"/>
    <x v="307"/>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400"/>
    <x v="307"/>
    <s v="09 - contratación directa"/>
    <x v="0"/>
    <s v="25 - contrato de prestacion de servicios profesionales"/>
    <s v="ENERO"/>
    <n v="11"/>
    <n v="0"/>
    <n v="309665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401"/>
    <x v="308"/>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x v="402"/>
    <x v="309"/>
    <s v="09 - contratación directa"/>
    <x v="0"/>
    <s v="26 - contrato de prestacion de servicios de apoyo a la gestion"/>
    <s v="ENERO"/>
    <n v="11"/>
    <n v="0"/>
    <n v="3806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x v="403"/>
    <x v="310"/>
    <s v="09 - contratación directa"/>
    <x v="0"/>
    <s v="25 - contrato de prestacion de servicios profesionales"/>
    <s v="ENERO"/>
    <n v="11"/>
    <n v="0"/>
    <n v="749765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x v="404"/>
    <x v="291"/>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x v="405"/>
    <x v="311"/>
    <s v="09 - contratación directa"/>
    <x v="0"/>
    <s v="25 - contrato de prestacion de servicios profesionales"/>
    <s v="ENERO"/>
    <n v="11"/>
    <n v="0"/>
    <n v="41782543"/>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x v="406"/>
    <x v="312"/>
    <s v="09 - contratación directa"/>
    <x v="0"/>
    <s v="25 - contrato de prestacion de servicios profesionales"/>
    <s v="ENERO"/>
    <n v="11"/>
    <n v="0"/>
    <n v="811027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x v="407"/>
    <x v="313"/>
    <s v="09 - contratación directa"/>
    <x v="0"/>
    <s v="25 - contrato de prestacion de servicios profesionales"/>
    <s v="ENERO"/>
    <n v="11"/>
    <n v="0"/>
    <n v="99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x v="408"/>
    <x v="314"/>
    <s v="09 - contratación directa"/>
    <x v="0"/>
    <s v="25 - contrato de prestacion de servicios profesionales"/>
    <s v="ENERO"/>
    <n v="11"/>
    <n v="0"/>
    <n v="10203424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x v="409"/>
    <x v="315"/>
    <s v="09 - contratación directa"/>
    <x v="0"/>
    <s v="25 - contrato de prestacion de servicios profesionales"/>
    <s v="ENERO"/>
    <n v="11"/>
    <n v="0"/>
    <n v="749765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x v="410"/>
    <x v="316"/>
    <s v="09 - contratación directa"/>
    <x v="0"/>
    <s v="25 - contrato de prestacion de servicios profesionales"/>
    <s v="ENERO"/>
    <n v="11"/>
    <n v="0"/>
    <n v="749765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x v="411"/>
    <x v="317"/>
    <s v="09 - contratación directa"/>
    <x v="0"/>
    <s v="25 - contrato de prestacion de servicios profesionales"/>
    <s v="ENERO"/>
    <n v="11"/>
    <n v="0"/>
    <n v="101725045"/>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x v="412"/>
    <x v="318"/>
    <s v="09 - contratación directa"/>
    <x v="0"/>
    <s v="25 - contrato de prestacion de servicios profesionales"/>
    <s v="ENERO"/>
    <n v="11"/>
    <n v="0"/>
    <n v="81102791"/>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x v="413"/>
    <x v="319"/>
    <s v="09 - contratación directa"/>
    <x v="0"/>
    <s v="25 - contrato de prestacion de servicios profesionales"/>
    <s v="ENERO"/>
    <n v="10"/>
    <n v="0"/>
    <n v="5161087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x v="414"/>
    <x v="320"/>
    <s v="09 - contratación directa"/>
    <x v="0"/>
    <s v="26 - contrato de prestacion de servicios de apoyo a la gestion"/>
    <s v="ENERO"/>
    <n v="11"/>
    <n v="0"/>
    <n v="3806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x v="415"/>
    <x v="321"/>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x v="416"/>
    <x v="321"/>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x v="417"/>
    <x v="321"/>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x v="418"/>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x v="419"/>
    <x v="322"/>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x v="420"/>
    <x v="322"/>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x v="421"/>
    <x v="323"/>
    <s v="09 - contratación directa"/>
    <x v="0"/>
    <s v="26 - contrato de prestacion de servicios de apoyo a la gestion"/>
    <s v="ENERO"/>
    <n v="11"/>
    <n v="0"/>
    <n v="4939897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x v="422"/>
    <x v="324"/>
    <s v="09 - contratación directa"/>
    <x v="0"/>
    <s v="25 - contrato de prestacion de servicios profesionales"/>
    <s v="ENERO"/>
    <n v="11"/>
    <n v="0"/>
    <n v="6635682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x v="423"/>
    <x v="325"/>
    <s v="09 - contratación directa"/>
    <x v="0"/>
    <s v="25 - contrato de prestacion de servicios profesionales"/>
    <s v="ENERO"/>
    <n v="11"/>
    <n v="0"/>
    <n v="10172507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x v="424"/>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x v="425"/>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x v="426"/>
    <x v="326"/>
    <s v="09 - contratación directa"/>
    <x v="0"/>
    <s v="25 - contrato de prestacion de servicios profesionales"/>
    <s v="ENERO"/>
    <n v="11"/>
    <n v="0"/>
    <n v="572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x v="427"/>
    <x v="327"/>
    <s v="09 - contratación directa"/>
    <x v="0"/>
    <s v="25 - contrato de prestacion de servicios profesionales"/>
    <s v="ENERO"/>
    <n v="10"/>
    <n v="0"/>
    <n v="36194634"/>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x v="428"/>
    <x v="311"/>
    <s v="09 - contratación directa"/>
    <x v="0"/>
    <s v="25 - contrato de prestacion de servicios profesionales"/>
    <s v="ENERO"/>
    <n v="11"/>
    <n v="0"/>
    <n v="811027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x v="429"/>
    <x v="313"/>
    <s v="09 - contratación directa"/>
    <x v="0"/>
    <s v="25 - contrato de prestacion de servicios profesionales"/>
    <s v="ENERO"/>
    <n v="11"/>
    <n v="0"/>
    <n v="9900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x v="430"/>
    <x v="321"/>
    <s v="09 - contratación directa"/>
    <x v="0"/>
    <s v="26 - contrato de prestacion de servicios de apoyo a la gestion"/>
    <s v="ENERO"/>
    <n v="10"/>
    <n v="0"/>
    <n v="3273380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x v="431"/>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x v="432"/>
    <x v="328"/>
    <s v="09 - contratación directa"/>
    <x v="0"/>
    <s v="25 - contrato de prestacion de servicios profesionales"/>
    <s v="ENERO"/>
    <n v="11"/>
    <n v="0"/>
    <n v="10172504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x v="433"/>
    <x v="329"/>
    <s v="09 - contratación directa"/>
    <x v="0"/>
    <s v="25 - contrato de prestacion de servicios profesionales"/>
    <s v="ENERO"/>
    <n v="10"/>
    <n v="0"/>
    <n v="7372981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x v="434"/>
    <x v="330"/>
    <s v="09 - contratación directa"/>
    <x v="0"/>
    <s v="25 - contrato de prestacion de servicios profesionales"/>
    <s v="ENERO"/>
    <n v="11"/>
    <n v="0"/>
    <n v="10172504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x v="435"/>
    <x v="331"/>
    <s v="09 - contratación directa"/>
    <x v="0"/>
    <s v="26 - contrato de prestacion de servicios de apoyo a la gestion"/>
    <s v="ENERO"/>
    <n v="10"/>
    <n v="0"/>
    <n v="4275435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x v="436"/>
    <x v="332"/>
    <s v="09 - contratación directa"/>
    <x v="0"/>
    <s v="25 - contrato de prestacion de servicios profesionales"/>
    <s v="ENERO"/>
    <n v="11"/>
    <n v="0"/>
    <n v="99968690"/>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x v="437"/>
    <x v="333"/>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x v="438"/>
    <x v="334"/>
    <s v="09 - contratación directa"/>
    <x v="0"/>
    <s v="25 - contrato de prestacion de servicios profesionales"/>
    <s v="ENERO"/>
    <n v="10"/>
    <n v="0"/>
    <n v="6012330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x v="439"/>
    <x v="335"/>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x v="440"/>
    <x v="336"/>
    <s v="09 - contratación directa"/>
    <x v="0"/>
    <s v="25 - contrato de prestacion de servicios profesionales"/>
    <s v="ENERO"/>
    <n v="10"/>
    <n v="0"/>
    <n v="7348404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x v="441"/>
    <x v="337"/>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x v="442"/>
    <x v="338"/>
    <s v="09 - contratación directa"/>
    <x v="0"/>
    <s v="25 - contrato de prestacion de servicios profesionales"/>
    <s v="ENERO"/>
    <n v="11"/>
    <n v="0"/>
    <n v="74976512"/>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x v="443"/>
    <x v="339"/>
    <s v="09 - contratación directa"/>
    <x v="0"/>
    <s v="25 - contrato de prestacion de servicios profesionales"/>
    <s v="ENERO"/>
    <n v="11"/>
    <n v="0"/>
    <n v="75133333"/>
    <s v="NO"/>
    <x v="9"/>
    <s v="Fatima Veronica Quintero Nuñez"/>
    <x v="2"/>
    <s v="Subdirector@ de Gestión del Riesgo"/>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x v="444"/>
    <x v="340"/>
    <s v="09 - contratación directa"/>
    <x v="0"/>
    <s v="25 - contrato de prestacion de servicios profesionales"/>
    <s v="ENERO"/>
    <n v="11"/>
    <n v="0"/>
    <n v="75133333"/>
    <s v="NO"/>
    <x v="9"/>
    <s v="Fatima Veronica Quintero Nuñez"/>
    <x v="2"/>
    <s v="Subdirector@ de Gestión del Riesgo"/>
    <x v="0"/>
    <s v="8011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0-Prestar los servicios profesionales técnicos para apoyar las actividades propias que contribuyan al desarrollo de la infraestructura requerida por la entidad para la adecuada prestación del servicio-SGC"/>
  </r>
  <r>
    <x v="445"/>
    <x v="341"/>
    <s v="09 - contratación directa"/>
    <x v="0"/>
    <s v="25 - contrato de prestacion de servicios profesionales"/>
    <s v="ENERO"/>
    <n v="11"/>
    <n v="0"/>
    <n v="66356829"/>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x v="446"/>
    <x v="342"/>
    <s v="09 - contratación directa"/>
    <x v="0"/>
    <s v="25 - contrato de prestacion de servicios profesionales"/>
    <s v="ENERO"/>
    <n v="11"/>
    <n v="0"/>
    <n v="8225000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x v="447"/>
    <x v="301"/>
    <s v="09 - contratación directa"/>
    <x v="0"/>
    <s v="26 - contrato de prestacion de servicios de apoyo a la gestion"/>
    <s v="ENERO"/>
    <n v="11"/>
    <n v="0"/>
    <n v="30872691"/>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x v="448"/>
    <x v="301"/>
    <s v="09 - contratación directa"/>
    <x v="0"/>
    <s v="26 - contrato de prestacion de servicios de apoyo a la gestion"/>
    <s v="ENERO"/>
    <n v="10"/>
    <n v="0"/>
    <n v="2805755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x v="449"/>
    <x v="306"/>
    <s v="09 - contratación directa"/>
    <x v="0"/>
    <s v="26 - contrato de prestacion de servicios de apoyo a la gestion"/>
    <s v="ENERO"/>
    <n v="11"/>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x v="450"/>
    <x v="306"/>
    <s v="09 - contratación directa"/>
    <x v="0"/>
    <s v="26 - contrato de prestacion de servicios de apoyo a la gestion"/>
    <s v="ENERO"/>
    <n v="11"/>
    <n v="0"/>
    <n v="42025995"/>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x v="451"/>
    <x v="343"/>
    <s v="09 - contratación directa"/>
    <x v="0"/>
    <s v="26 - contrato de prestacion de servicios de apoyo a la gestion"/>
    <s v="ENERO"/>
    <n v="11"/>
    <n v="0"/>
    <n v="3087268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x v="452"/>
    <x v="344"/>
    <s v="09 - contratación directa"/>
    <x v="0"/>
    <s v="26 - contrato de prestacion de servicios de apoyo a la gestion"/>
    <s v="ENERO"/>
    <n v="11"/>
    <n v="0"/>
    <n v="4704409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x v="453"/>
    <x v="294"/>
    <s v="09 - contratación directa"/>
    <x v="0"/>
    <s v="26 - contrato de prestacion de servicios de apoyo a la gestion"/>
    <s v="ENERO"/>
    <n v="11"/>
    <n v="0"/>
    <n v="3612760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x v="454"/>
    <x v="294"/>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x v="455"/>
    <x v="294"/>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x v="456"/>
    <x v="294"/>
    <s v="09 - contratación directa"/>
    <x v="0"/>
    <s v="26 - contrato de prestacion de servicios de apoyo a la gestion"/>
    <s v="ENERO"/>
    <n v="11"/>
    <n v="0"/>
    <n v="1970596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x v="457"/>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x v="458"/>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x v="459"/>
    <x v="321"/>
    <s v="09 - contratación directa"/>
    <x v="0"/>
    <s v="26 - contrato de prestacion de servicios de apoyo a la gestion"/>
    <s v="ENERO"/>
    <n v="11"/>
    <n v="0"/>
    <n v="3612760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x v="460"/>
    <x v="345"/>
    <s v="09 - contratación directa"/>
    <x v="0"/>
    <s v="25 - contrato de prestacion de servicios profesionales"/>
    <s v="ENERO"/>
    <n v="11"/>
    <n v="0"/>
    <n v="100178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x v="461"/>
    <x v="346"/>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x v="462"/>
    <x v="347"/>
    <s v="09 - contratación directa"/>
    <x v="0"/>
    <s v="26 - contrato de prestacion de servicios de apoyo a la gestion"/>
    <s v="ENERO"/>
    <n v="10"/>
    <n v="0"/>
    <n v="38078099"/>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x v="463"/>
    <x v="348"/>
    <s v="09 - contratación directa"/>
    <x v="0"/>
    <s v="25 - contrato de prestacion de servicios profesionales"/>
    <s v="ENERO"/>
    <n v="11"/>
    <n v="0"/>
    <n v="77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x v="464"/>
    <x v="341"/>
    <s v="09 - contratación directa"/>
    <x v="0"/>
    <s v="25 - contrato de prestacion de servicios profesionales"/>
    <s v="ENERO"/>
    <n v="11"/>
    <n v="0"/>
    <n v="56771957"/>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x v="465"/>
    <x v="349"/>
    <s v="09 - contratación directa"/>
    <x v="0"/>
    <s v="25 - contrato de prestacion de servicios profesionales"/>
    <s v="ENERO"/>
    <n v="6"/>
    <n v="0"/>
    <n v="42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x v="466"/>
    <x v="350"/>
    <s v="09 - contratación directa"/>
    <x v="0"/>
    <s v="25 - contrato de prestacion de servicios profesionales"/>
    <s v="ENERO"/>
    <n v="11"/>
    <n v="0"/>
    <n v="768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x v="467"/>
    <x v="351"/>
    <s v="09 - contratación directa"/>
    <x v="0"/>
    <s v="25 - contrato de prestacion de servicios profesionales"/>
    <s v="ENERO"/>
    <n v="11"/>
    <n v="0"/>
    <n v="77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x v="468"/>
    <x v="352"/>
    <s v="09 - contratación directa"/>
    <x v="0"/>
    <s v="25 - contrato de prestacion de servicios profesionales"/>
    <s v="ENERO"/>
    <n v="6"/>
    <n v="0"/>
    <n v="42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x v="469"/>
    <x v="353"/>
    <s v="17 - acuerdo marco de precios"/>
    <x v="1"/>
    <s v="03 - contrato de prestacion de servicios"/>
    <s v="FEBRERO"/>
    <n v="10"/>
    <n v="0"/>
    <n v="91253900"/>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x v="470"/>
    <x v="354"/>
    <s v="04 - contratación mínima cuantía"/>
    <x v="1"/>
    <s v="08 - contrato de suministro"/>
    <s v="MAYO"/>
    <n v="8"/>
    <n v="0"/>
    <n v="12661688"/>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x v="471"/>
    <x v="355"/>
    <s v="04 - contratación mínima cuantía"/>
    <x v="1"/>
    <s v="17 - contrato de mantenimiento"/>
    <s v="MAYO"/>
    <n v="8"/>
    <n v="0"/>
    <n v="48000000"/>
    <s v="NO"/>
    <x v="9"/>
    <s v="Fatima Veronica Quintero Nuñez"/>
    <x v="0"/>
    <s v="Subdirector@ de Gestión Corporativa"/>
    <x v="0"/>
    <s v="40101806;_x000a_40101826;"/>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x v="472"/>
    <x v="356"/>
    <s v="04 - contratación mínima cuantía"/>
    <x v="1"/>
    <s v="17 - contrato de mantenimiento"/>
    <s v="MAYO"/>
    <n v="8"/>
    <n v="0"/>
    <n v="48000000"/>
    <s v="NO"/>
    <x v="9"/>
    <s v="Fatima Veronica Quintero Nuñez"/>
    <x v="0"/>
    <s v="Subdirector@ de Gestión Corporativa"/>
    <x v="0"/>
    <n v="72151802"/>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x v="473"/>
    <x v="357"/>
    <s v="03 - selec. abrev. subasta inversa"/>
    <x v="1"/>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1-Suministro  de muebles, enseres y demàs elementos requeridos para la Unidad Administrativa Especial Cuerpo Oficial de Bomberos Bogotá -SGC"/>
  </r>
  <r>
    <x v="474"/>
    <x v="358"/>
    <s v="04 - contratación mínima cuantía"/>
    <x v="1"/>
    <s v="17 - contrato de mantenimiento"/>
    <s v="MAYO"/>
    <n v="11"/>
    <n v="0"/>
    <n v="20000000"/>
    <s v="NO"/>
    <x v="9"/>
    <s v="Fatima Veronica Quintero Nuñez"/>
    <x v="0"/>
    <s v="Subdirector@ de Gestión Corporativa"/>
    <x v="0"/>
    <s v="73152108;"/>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x v="475"/>
    <x v="359"/>
    <s v="02 - selec. abrev. menor cuantía"/>
    <x v="1"/>
    <s v="17 - contrato de mantenimiento"/>
    <s v="MARZO"/>
    <n v="11"/>
    <n v="0"/>
    <n v="120000000"/>
    <s v="NO"/>
    <x v="9"/>
    <s v="Fatima Veronica Quintero Nuñez"/>
    <x v="0"/>
    <s v="Subdirector@ de Gestión Corporativa"/>
    <x v="0"/>
    <s v="72151800;_x000a_721515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x v="476"/>
    <x v="360"/>
    <s v="02 - selec. abrev. menor cuantía"/>
    <x v="1"/>
    <s v="17 - contrato de mantenimiento"/>
    <s v="ABRIL"/>
    <n v="10"/>
    <n v="0"/>
    <n v="180000000"/>
    <s v="NO"/>
    <x v="9"/>
    <s v="Fatima Veronica Quintero Nuñez"/>
    <x v="0"/>
    <s v="Subdirector@ de Gestión Corporativa"/>
    <x v="0"/>
    <s v="72154100;_x000a_ 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x v="477"/>
    <x v="361"/>
    <s v="02 - selec. abrev. menor cuantía"/>
    <x v="1"/>
    <s v="17 - contrato de mantenimiento"/>
    <s v="MARZO"/>
    <n v="10"/>
    <n v="0"/>
    <n v="180000000"/>
    <s v="NO"/>
    <x v="9"/>
    <s v="Fatima Veronica Quintero Nuñez"/>
    <x v="0"/>
    <s v="Subdirector@ de Gestión Corporativa"/>
    <x v="0"/>
    <s v="72101500; _x000a_92101600; 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x v="478"/>
    <x v="362"/>
    <s v="01 - licitación pública"/>
    <x v="1"/>
    <s v="05 - contrato de obra"/>
    <s v="MAYO"/>
    <n v="10"/>
    <n v="0"/>
    <n v="800000000"/>
    <s v="NO"/>
    <x v="9"/>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x v="479"/>
    <x v="363"/>
    <s v="06 - concurso de méritos abierto"/>
    <x v="1"/>
    <s v="14 - contrato de interventoria"/>
    <s v="MAYO"/>
    <n v="10"/>
    <n v="0"/>
    <n v="200000000"/>
    <s v="NO"/>
    <x v="9"/>
    <s v="Fatima Veronica Quintero Nuñez"/>
    <x v="0"/>
    <s v="Subdirector@ de Gestión Corporativa"/>
    <x v="0"/>
    <s v="80101600; _x000a_81101500; _x000a_72101500; _x000a_721214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x v="480"/>
    <x v="364"/>
    <s v="02 - selec. abrev. menor cuantía"/>
    <x v="1"/>
    <s v="17 - contrato de mantenimiento"/>
    <s v="MAYO"/>
    <n v="10"/>
    <n v="0"/>
    <n v="127000000"/>
    <s v="NO"/>
    <x v="9"/>
    <s v="Fatima Veronica Quintero Nuñez"/>
    <x v="0"/>
    <s v="Subdirector@ de Gestión Corporativa"/>
    <x v="0"/>
    <s v="47111500;_x000a_73151800;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x v="481"/>
    <x v="365"/>
    <s v="02 - selec. abrev. menor cuantía"/>
    <x v="1"/>
    <s v="17 - contrato de mantenimiento"/>
    <s v="JUNIO"/>
    <n v="9"/>
    <n v="0"/>
    <n v="200000000"/>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x v="482"/>
    <x v="366"/>
    <s v="02 - selec. abrev. menor cuantía"/>
    <x v="1"/>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x v="4"/>
    <s v="No a"/>
    <s v="li"/>
    <s v="NA"/>
    <s v="NA"/>
    <s v="NA"/>
    <s v="N/A"/>
    <s v="N/A"/>
    <s v="N/A-N/A"/>
    <s v="N/A"/>
    <s v="N/A"/>
    <s v="N/A_N/A"/>
    <s v="N/A-N/A N/A_N/A"/>
    <x v="1"/>
    <x v="1"/>
    <x v="6"/>
    <s v="Si Secop "/>
    <s v="20260518-BS-No a-li-Contratar el servicio de saneamiento ambiental, corte de césped, jardinería, poda y tala de árboles para las sedes (predios y/o estaciones) de la Unidad Administrativa Especial Cuerpo Oficial de Bomberos de Bogotá – SGC"/>
  </r>
  <r>
    <x v="483"/>
    <x v="367"/>
    <s v="04 - contratación mínima cuantía"/>
    <x v="1"/>
    <s v="03 - contrato de prestacion de servicios"/>
    <s v="MAYO"/>
    <n v="8"/>
    <n v="0"/>
    <n v="30000000"/>
    <s v="NO"/>
    <x v="9"/>
    <s v="Fatima Veronica Quintero Nuñez"/>
    <x v="1"/>
    <s v="Subdirector@ de Gestión Corporativa"/>
    <x v="1"/>
    <s v="81141807;_x000a_40151517;_x000a_76121701;_x000a_83101506;"/>
    <x v="4"/>
    <s v="No a"/>
    <s v="li"/>
    <s v="NA"/>
    <s v="NA"/>
    <s v="NA"/>
    <s v="N/A"/>
    <s v="N/A"/>
    <s v="N/A-N/A"/>
    <s v="N/A"/>
    <s v="N/A"/>
    <s v="N/A_N/A"/>
    <s v="N/A-N/A N/A_N/A"/>
    <x v="1"/>
    <x v="1"/>
    <x v="6"/>
    <s v="Si Secop "/>
    <s v="20260519-BS-No a-li-Prestar el servicio de recolección y disposición final de los residuos sanitarios y aguas no tratadas de las instalaciones de la Unidad Administrativa Especial Cuerpo Oficial de Bomberos de Bogotá – SGC"/>
  </r>
  <r>
    <x v="484"/>
    <x v="368"/>
    <s v="04 - contratación mínima cuantía"/>
    <x v="1"/>
    <s v="27 - contrato de prestacion de servicios de mantenimiento"/>
    <s v="ABRIL"/>
    <n v="10"/>
    <n v="0"/>
    <n v="24000000"/>
    <s v="NO"/>
    <x v="9"/>
    <s v="Fatima Veronica Quintero Nuñez"/>
    <x v="1"/>
    <s v="Subdirector@ de Gestión Corporativa"/>
    <x v="1"/>
    <s v="91111602;_x000a_72154302;_x000a_47101568;_x000a_49241712;"/>
    <x v="4"/>
    <s v="No a"/>
    <s v="li"/>
    <s v="NA"/>
    <s v="NA"/>
    <s v="NA"/>
    <s v="N/A"/>
    <s v="N/A"/>
    <s v="N/A-N/A"/>
    <s v="N/A"/>
    <s v="N/A"/>
    <s v="N/A_N/A"/>
    <s v="N/A-N/A N/A_N/A"/>
    <x v="1"/>
    <x v="1"/>
    <x v="6"/>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x v="485"/>
    <x v="369"/>
    <s v="17 - acuerdo marco de precios"/>
    <x v="1"/>
    <s v="03 - contrato de prestacion de servicios"/>
    <s v="ENERO"/>
    <n v="1"/>
    <n v="0"/>
    <n v="17698013"/>
    <s v="NO"/>
    <x v="9"/>
    <s v="Fatima Veronica Quintero Nuñez"/>
    <x v="1"/>
    <s v="Subdirector@ de Gestión Corporativa"/>
    <x v="1"/>
    <s v="78102206;"/>
    <x v="4"/>
    <s v="No a"/>
    <s v="li"/>
    <s v="NA"/>
    <s v="NA"/>
    <s v="NA"/>
    <s v="N/A"/>
    <s v="N/A"/>
    <s v="N/A-N/A"/>
    <s v="N/A"/>
    <s v="N/A"/>
    <s v="N/A_N/A"/>
    <s v="N/A-N/A N/A_N/A"/>
    <x v="1"/>
    <x v="1"/>
    <x v="6"/>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486"/>
    <x v="370"/>
    <s v="17 - acuerdo marco de precios"/>
    <x v="1"/>
    <s v="03 - contrato de prestacion de servicios"/>
    <s v="MARZO"/>
    <n v="8"/>
    <n v="0"/>
    <n v="88070951"/>
    <s v="NO"/>
    <x v="9"/>
    <s v="Fatima Veronica Quintero Nuñez"/>
    <x v="1"/>
    <s v="Subdirector@ de Gestión Corporativa"/>
    <x v="1"/>
    <s v="78102206;"/>
    <x v="4"/>
    <s v="No a"/>
    <s v="li"/>
    <s v="NA"/>
    <s v="NA"/>
    <s v="NA"/>
    <s v="N/A"/>
    <s v="N/A"/>
    <s v="N/A-N/A"/>
    <s v="N/A"/>
    <s v="N/A"/>
    <s v="N/A_N/A"/>
    <s v="N/A-N/A N/A_N/A"/>
    <x v="1"/>
    <x v="1"/>
    <x v="6"/>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487"/>
    <x v="353"/>
    <s v="17 - acuerdo marco de precios"/>
    <x v="1"/>
    <s v="03 - contrato de prestacion de servicios"/>
    <s v="FEBRERO"/>
    <n v="10"/>
    <n v="0"/>
    <n v="755000000"/>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3-BS-No a-li-Contratar la prestación del servicio de aseo y cafetería incluido insumos para la Unidad Administrativa Especial Cuerpo Oficial de Bomberos Bogotá -SGC"/>
  </r>
  <r>
    <x v="488"/>
    <x v="353"/>
    <s v="17 - acuerdo marco de precios"/>
    <x v="1"/>
    <s v="03 - contrato de prestacion de servicios"/>
    <s v="FEBRERO"/>
    <n v="10"/>
    <n v="0"/>
    <n v="355266492"/>
    <s v="NO"/>
    <x v="9"/>
    <s v="Fatima Veronica Quintero Nuñez"/>
    <x v="1"/>
    <s v="Subdirector@ de Gestión Corporativa"/>
    <x v="1"/>
    <s v="44121700;_x000a_44121800;_x000a_44121900;_x000a_44122000;"/>
    <x v="4"/>
    <s v="No a"/>
    <s v="li"/>
    <s v="NA"/>
    <s v="NA"/>
    <s v="NA"/>
    <s v="N/A"/>
    <s v="N/A"/>
    <s v="N/A-N/A"/>
    <s v="N/A"/>
    <s v="N/A"/>
    <s v="N/A_N/A"/>
    <s v="N/A-N/A N/A_N/A"/>
    <x v="1"/>
    <x v="1"/>
    <x v="6"/>
    <s v="Si Secop "/>
    <s v="20260524-BS-No a-li-Contratar la prestación del servicio de aseo y cafetería incluido insumos para la Unidad Administrativa Especial Cuerpo Oficial de Bomberos Bogotá -SGC"/>
  </r>
  <r>
    <x v="489"/>
    <x v="371"/>
    <s v="03 - selec. abrev. subasta inversa"/>
    <x v="1"/>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x v="4"/>
    <s v="No a"/>
    <s v="li"/>
    <s v="NA"/>
    <s v="NA"/>
    <s v="NA"/>
    <s v="N/A"/>
    <s v="N/A"/>
    <s v="N/A-N/A"/>
    <s v="N/A"/>
    <s v="N/A"/>
    <s v="N/A_N/A"/>
    <s v="N/A-N/A N/A_N/A"/>
    <x v="1"/>
    <x v="1"/>
    <x v="6"/>
    <s v="Si Secop "/>
    <s v="20260525-BS-No a-li-Suministro  de implementos  de  papelería y oficina para las dependencias  para la Unidad Administrativa Especial Cuerpo Oficial de Bomberos Bogotá -SGC"/>
  </r>
  <r>
    <x v="490"/>
    <x v="287"/>
    <s v="01 - licitación pública"/>
    <x v="1"/>
    <s v="03 - contrato de prestacion de servicios"/>
    <s v="ENERO"/>
    <n v="12"/>
    <n v="0"/>
    <n v="1000000000"/>
    <s v="NO"/>
    <x v="9"/>
    <s v="Fatima Veronica Quintero Nuñez"/>
    <x v="1"/>
    <s v="Subdirector@ de Gestión Corporativa"/>
    <x v="1"/>
    <s v="92121500;"/>
    <x v="4"/>
    <s v="No a"/>
    <s v="li"/>
    <s v="NA"/>
    <s v="NA"/>
    <s v="NA"/>
    <s v="N/A"/>
    <s v="N/A"/>
    <s v="N/A-N/A"/>
    <s v="N/A"/>
    <s v="N/A"/>
    <s v="N/A_N/A"/>
    <s v="N/A-N/A N/A_N/A"/>
    <x v="1"/>
    <x v="1"/>
    <x v="6"/>
    <s v="Si Secop "/>
    <s v="20260527-BS-No a-li-Prestar el servicio de vigilancia y seguridad privada en la modalidad de vigilancia fija, según especificaciones técnicas, en las instalaciones donde la UAE Especial Cuerpo Oficial de Bomberos requiera-SGC"/>
  </r>
  <r>
    <x v="491"/>
    <x v="372"/>
    <s v="04 - contratación mínima cuantía"/>
    <x v="1"/>
    <s v="08 - contrato de suministro"/>
    <s v="MARZO"/>
    <n v="7"/>
    <n v="0"/>
    <n v="48900000"/>
    <s v="NO"/>
    <x v="9"/>
    <s v="Fatima Veronica Quintero Nuñez"/>
    <x v="1"/>
    <s v="Subdirector@ de Gestión Corporativa"/>
    <x v="1"/>
    <s v="47131800;"/>
    <x v="4"/>
    <s v="No a"/>
    <s v="li"/>
    <s v="NA"/>
    <s v="NA"/>
    <s v="NA"/>
    <s v="N/A"/>
    <s v="N/A"/>
    <s v="N/A-N/A"/>
    <s v="N/A"/>
    <s v="N/A"/>
    <s v="N/A_N/A"/>
    <s v="N/A-N/A N/A_N/A"/>
    <x v="1"/>
    <x v="1"/>
    <x v="6"/>
    <s v="Si Secop "/>
    <s v="20260528-BS-No a-li-Suministro de insumos para lavandería-SGC"/>
  </r>
  <r>
    <x v="492"/>
    <x v="373"/>
    <s v="09 - contratación directa"/>
    <x v="1"/>
    <s v="07 - contrato de arrendamiento"/>
    <s v="ENERO"/>
    <n v="12"/>
    <n v="0"/>
    <n v="178000000"/>
    <s v="NO"/>
    <x v="9"/>
    <s v="Fatima Veronica Quintero Nuñez"/>
    <x v="1"/>
    <s v="Subdirector@ de Gestión Corporativa"/>
    <x v="1"/>
    <s v="80131502;"/>
    <x v="4"/>
    <s v="No a"/>
    <s v="li"/>
    <s v="NA"/>
    <s v="NA"/>
    <s v="NA"/>
    <s v="N/A"/>
    <s v="N/A"/>
    <s v="N/A-N/A"/>
    <s v="N/A"/>
    <s v="N/A"/>
    <s v="N/A_N/A"/>
    <s v="N/A-N/A N/A_N/A"/>
    <x v="1"/>
    <x v="1"/>
    <x v="6"/>
    <s v="Si Secop "/>
    <s v="20260529-BS-No a-li-Arrendamiento de instalaciones estación Ferias-SGC"/>
  </r>
  <r>
    <x v="493"/>
    <x v="374"/>
    <s v="09 - contratación directa"/>
    <x v="1"/>
    <s v="17 - contrato de mantenimiento"/>
    <s v="MAYO"/>
    <n v="2"/>
    <n v="0"/>
    <n v="5241332"/>
    <s v="NO"/>
    <x v="9"/>
    <s v="Fatima Veronica Quintero Nuñez"/>
    <x v="1"/>
    <s v="Subdirector@ de Gestión Corporativa"/>
    <x v="1"/>
    <s v="72101506;_x000a_72154010;"/>
    <x v="4"/>
    <s v="No a"/>
    <s v="li"/>
    <s v="NA"/>
    <s v="NA"/>
    <s v="NA"/>
    <s v="N/A"/>
    <s v="N/A"/>
    <s v="N/A-N/A"/>
    <s v="N/A"/>
    <s v="N/A"/>
    <s v="N/A_N/A"/>
    <s v="N/A-N/A N/A_N/A"/>
    <x v="1"/>
    <x v="1"/>
    <x v="6"/>
    <s v="No Secop"/>
    <s v="20260530-BS-No a-li-Adición y prórroga No. 1 al contrato 491 de 2025 que tiene como objeto “Mantenimiento ascensor nueva Estación de Bomberos de Fontibón-SGC"/>
  </r>
  <r>
    <x v="494"/>
    <x v="375"/>
    <s v="09 - contratación directa"/>
    <x v="1"/>
    <s v="17 - contrato de mantenimiento"/>
    <s v="AGOSTO"/>
    <n v="6"/>
    <n v="0"/>
    <n v="8658668"/>
    <s v="NO"/>
    <x v="9"/>
    <s v="Fatima Veronica Quintero Nuñez"/>
    <x v="1"/>
    <s v="Subdirector@ de Gestión Corporativa"/>
    <x v="1"/>
    <s v="72101506;_x000a_72154010;"/>
    <x v="4"/>
    <s v="No a"/>
    <s v="li"/>
    <s v="NA"/>
    <s v="NA"/>
    <s v="NA"/>
    <s v="N/A"/>
    <s v="N/A"/>
    <s v="N/A-N/A"/>
    <s v="N/A"/>
    <s v="N/A"/>
    <s v="N/A_N/A"/>
    <s v="N/A-N/A N/A_N/A"/>
    <x v="1"/>
    <x v="1"/>
    <x v="6"/>
    <s v="Si Secop "/>
    <s v="20260531-BS-No a-li-Mantenimiento correctivo y preventivo con suministro de repuestos para el ascensor estación de bomberos Fontibón B6 -SGC"/>
  </r>
  <r>
    <x v="495"/>
    <x v="376"/>
    <s v="09 - contratación directa"/>
    <x v="1"/>
    <s v="17 - contrato de mantenimiento"/>
    <s v="ABRIL"/>
    <n v="2"/>
    <n v="0"/>
    <n v="10250000"/>
    <s v="NO"/>
    <x v="9"/>
    <s v="Fatima Veronica Quintero Nuñez"/>
    <x v="1"/>
    <s v="Subdirector@ de Gestión Corporativa"/>
    <x v="1"/>
    <s v="72101506;_x000a_72154010;"/>
    <x v="4"/>
    <s v="No a"/>
    <s v="li"/>
    <s v="NA"/>
    <s v="NA"/>
    <s v="NA"/>
    <s v="N/A"/>
    <s v="N/A"/>
    <s v="N/A-N/A"/>
    <s v="N/A"/>
    <s v="N/A"/>
    <s v="N/A_N/A"/>
    <s v="N/A-N/A N/A_N/A"/>
    <x v="1"/>
    <x v="1"/>
    <x v="6"/>
    <s v="No Secop"/>
    <s v="20260532-BS-No a-li-Adición No. 1 al contrato 586 de 2025 que tiene como objeto “Mantenimiento correctivo y preventivo con suministro de repuestos para los ascensores edificio comando-SGC"/>
  </r>
  <r>
    <x v="496"/>
    <x v="377"/>
    <s v="09 - contratación directa"/>
    <x v="1"/>
    <s v="17 - contrato de mantenimiento"/>
    <s v="AGOSTO"/>
    <n v="7"/>
    <n v="0"/>
    <n v="22050000"/>
    <s v="NO"/>
    <x v="9"/>
    <s v="Fatima Veronica Quintero Nuñez"/>
    <x v="1"/>
    <s v="Subdirector@ de Gestión Corporativa"/>
    <x v="1"/>
    <s v="72101506;_x000a_72154010;"/>
    <x v="4"/>
    <s v="No a"/>
    <s v="li"/>
    <s v="NA"/>
    <s v="NA"/>
    <s v="NA"/>
    <s v="N/A"/>
    <s v="N/A"/>
    <s v="N/A-N/A"/>
    <s v="N/A"/>
    <s v="N/A"/>
    <s v="N/A_N/A"/>
    <s v="N/A-N/A N/A_N/A"/>
    <x v="1"/>
    <x v="1"/>
    <x v="6"/>
    <s v="Si Secop "/>
    <s v="20260533-BS-No a-li-Mantenimiento correctivo y preventivo con suministro de repuestos para los ascensores edificio comando-SGC"/>
  </r>
  <r>
    <x v="497"/>
    <x v="378"/>
    <s v="09 - contratación directa"/>
    <x v="1"/>
    <s v="17 - contrato de mantenimiento"/>
    <s v="ABRIL"/>
    <n v="2"/>
    <n v="0"/>
    <n v="3798370"/>
    <s v="NO"/>
    <x v="9"/>
    <s v="Fatima Veronica Quintero Nuñez"/>
    <x v="1"/>
    <s v="Subdirector@ de Gestión Corporativa"/>
    <x v="1"/>
    <s v="72101506;_x000a_72154010;"/>
    <x v="4"/>
    <s v="No a"/>
    <s v="li"/>
    <s v="NA"/>
    <s v="NA"/>
    <s v="NA"/>
    <s v="N/A"/>
    <s v="N/A"/>
    <s v="N/A-N/A"/>
    <s v="N/A"/>
    <s v="N/A"/>
    <s v="N/A_N/A"/>
    <s v="N/A-N/A N/A_N/A"/>
    <x v="1"/>
    <x v="1"/>
    <x v="6"/>
    <s v="No Secop"/>
    <s v="20260534-BS-No a-li-Adición y prórroga No. 1 al contrato 638 de 2025 que tiene como objeto “Mantenimiento correctivo y preventivo con suministro de repuestos ascensor estación de bomberos Bellavista B-9 - SGC"/>
  </r>
  <r>
    <x v="498"/>
    <x v="379"/>
    <s v="09 - contratación directa"/>
    <x v="1"/>
    <s v="17 - contrato de mantenimiento"/>
    <s v="AGOSTO"/>
    <n v="7"/>
    <n v="0"/>
    <n v="10001630"/>
    <s v="NO"/>
    <x v="9"/>
    <s v="Fatima Veronica Quintero Nuñez"/>
    <x v="1"/>
    <s v="Subdirector@ de Gestión Corporativa"/>
    <x v="1"/>
    <s v="72101506;_x000a_72154010;"/>
    <x v="4"/>
    <s v="No a"/>
    <s v="li"/>
    <s v="NA"/>
    <s v="NA"/>
    <s v="NA"/>
    <s v="N/A"/>
    <s v="N/A"/>
    <s v="N/A-N/A"/>
    <s v="N/A"/>
    <s v="N/A"/>
    <s v="N/A_N/A"/>
    <s v="N/A-N/A N/A_N/A"/>
    <x v="1"/>
    <x v="1"/>
    <x v="6"/>
    <s v="Si Secop "/>
    <s v="20260535-BS-No a-li-Mantenimiento correctivo y preventivo con suministro de repuestos ascensor estación de bomberos Bellavista B-9 - SGC"/>
  </r>
  <r>
    <x v="499"/>
    <x v="380"/>
    <s v="01 - licitación pública"/>
    <x v="1"/>
    <s v="15 - contrato de seguros"/>
    <s v="ABRIL"/>
    <n v="12"/>
    <n v="0"/>
    <n v="4048719330"/>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x v="500"/>
    <x v="307"/>
    <s v="09 - contratación directa"/>
    <x v="0"/>
    <s v="25 - contrato de prestacion de servicios profesionales"/>
    <s v="ENERO"/>
    <n v="11"/>
    <n v="0"/>
    <n v="56771957"/>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501"/>
    <x v="381"/>
    <s v="04 - contratación mínima cuantía"/>
    <x v="1"/>
    <s v="06 - contrato de compraventa"/>
    <s v="MARZO"/>
    <n v="3"/>
    <n v="0"/>
    <n v="40000000"/>
    <s v="NO"/>
    <x v="9"/>
    <s v="Fatima Veronica Quintero Nuñez"/>
    <x v="2"/>
    <s v="Subdirector@ de Gestión del Riesgo"/>
    <x v="0"/>
    <s v="23153602;"/>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1-Adquirir máquinas de grabado láser para el plaqueteo y/o marcación de los bienes devolutivos de la UAECOB, con el fin de garantizar el correcto control del inventario mediante rótulos duraderos y resistentes-SGC"/>
  </r>
  <r>
    <x v="502"/>
    <x v="382"/>
    <s v="09 - contratación directa"/>
    <x v="0"/>
    <s v="25 - contrato de prestacion de servicios profesionales"/>
    <s v="FEBRERO"/>
    <n v="11"/>
    <n v="0"/>
    <n v="616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x v="503"/>
    <x v="383"/>
    <s v="09 - contratación directa"/>
    <x v="0"/>
    <s v="25 - contrato de prestacion de servicios profesionales"/>
    <s v="FEBRERO"/>
    <n v="11"/>
    <n v="0"/>
    <n v="88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x v="504"/>
    <x v="384"/>
    <s v="09 - contratación directa"/>
    <x v="0"/>
    <s v="25 - contrato de prestacion de servicios profesionales"/>
    <s v="JULIO"/>
    <n v="5"/>
    <n v="0"/>
    <n v="50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x v="505"/>
    <x v="385"/>
    <s v="09 - contratación directa"/>
    <x v="0"/>
    <s v="25 - contrato de prestacion de servicios profesionales"/>
    <s v="FEBRERO"/>
    <n v="11"/>
    <n v="0"/>
    <n v="1111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x v="506"/>
    <x v="386"/>
    <s v="09 - contratación directa"/>
    <x v="0"/>
    <s v="25 - contrato de prestacion de servicios profesionales"/>
    <s v="FEBRERO"/>
    <n v="11"/>
    <n v="0"/>
    <n v="616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x v="507"/>
    <x v="387"/>
    <s v="09 - contratación directa"/>
    <x v="0"/>
    <s v="25 - contrato de prestacion de servicios profesionales"/>
    <s v="FEBRERO"/>
    <n v="11"/>
    <n v="0"/>
    <n v="49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x v="508"/>
    <x v="388"/>
    <s v="09 - contratación directa"/>
    <x v="0"/>
    <s v="26 - contrato de prestacion de servicios de apoyo a la gestion"/>
    <s v="FEBRERO"/>
    <n v="11"/>
    <n v="0"/>
    <n v="49398976"/>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x v="509"/>
    <x v="389"/>
    <s v="09 - contratación directa"/>
    <x v="0"/>
    <s v="25 - contrato de prestacion de servicios profesionales"/>
    <s v="FEBRERO"/>
    <n v="11"/>
    <n v="0"/>
    <n v="9075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x v="510"/>
    <x v="390"/>
    <s v="09 - contratación directa"/>
    <x v="0"/>
    <s v="25 - contrato de prestacion de servicios profesionales"/>
    <s v="FEBRERO"/>
    <n v="11"/>
    <n v="0"/>
    <n v="41288698"/>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x v="511"/>
    <x v="391"/>
    <s v="09 - contratación directa"/>
    <x v="0"/>
    <s v="25 - contrato de prestacion de servicios profesionales"/>
    <s v="JULIO"/>
    <n v="4"/>
    <n v="0"/>
    <n v="368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x v="512"/>
    <x v="392"/>
    <s v="09 - contratación directa"/>
    <x v="0"/>
    <s v="25 - contrato de prestacion de servicios profesionales"/>
    <s v="FEBRERO"/>
    <n v="11"/>
    <n v="0"/>
    <n v="1012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x v="513"/>
    <x v="393"/>
    <s v="09 - contratación directa"/>
    <x v="0"/>
    <s v="25 - contrato de prestacion de servicios profesionales"/>
    <s v="FEBRERO"/>
    <n v="11"/>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x v="514"/>
    <x v="394"/>
    <s v="09 - contratación directa"/>
    <x v="0"/>
    <s v="25 - contrato de prestacion de servicios profesionales"/>
    <s v="FEBRERO"/>
    <n v="11"/>
    <n v="0"/>
    <n v="110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x v="515"/>
    <x v="395"/>
    <s v="09 - contratación directa"/>
    <x v="0"/>
    <s v="25 - contrato de prestacion de servicios profesionales"/>
    <s v="FEBRERO"/>
    <n v="11"/>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x v="516"/>
    <x v="396"/>
    <s v="09 - contratación directa"/>
    <x v="0"/>
    <s v="25 - contrato de prestacion de servicios profesionales"/>
    <s v="FEBRERO"/>
    <n v="10"/>
    <n v="0"/>
    <n v="66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x v="517"/>
    <x v="397"/>
    <s v="09 - contratación directa"/>
    <x v="0"/>
    <s v="25 - contrato de prestacion de servicios profesionales"/>
    <s v="FEBRERO"/>
    <n v="10"/>
    <n v="0"/>
    <n v="107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0-Prestar servicios profesionales especializados en la Dirección General de la UAECOB en la organización y liderazgo de los asuntos relacionados con comunicaciones de conformidad a la misionalidad de la entidad."/>
  </r>
  <r>
    <x v="518"/>
    <x v="398"/>
    <s v="09 - contratación directa"/>
    <x v="0"/>
    <s v="26 - contrato de prestacion de servicios de apoyo a la gestion"/>
    <s v="JULIO"/>
    <n v="4"/>
    <n v="0"/>
    <n v="17963264"/>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0-Prestar servicios de apoyo para la gestión en asuntos de comunicaciones y prensa en la Dirección General, y demás acciones encaminadas al cumplimiento de las estrategias comunicacionales de la UAECOB"/>
  </r>
  <r>
    <x v="519"/>
    <x v="399"/>
    <s v="09 - contratación directa"/>
    <x v="0"/>
    <s v="25 - contrato de prestacion de servicios profesionales"/>
    <s v="FEBRERO"/>
    <n v="10"/>
    <n v="0"/>
    <n v="7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0-Prestación de servicios profesionales en asuntos de comunicaciones y prensa para apoyar la divulgación y socialización de la información relacionada con la misionalidad de la UAECOB de manera interna y externa"/>
  </r>
  <r>
    <x v="520"/>
    <x v="400"/>
    <s v="09 - contratación directa"/>
    <x v="0"/>
    <s v="25 - contrato de prestacion de servicios profesionales"/>
    <s v="FEBRERO"/>
    <n v="10"/>
    <n v="0"/>
    <n v="825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x v="521"/>
    <x v="401"/>
    <s v="09 - contratación directa"/>
    <x v="0"/>
    <s v="25 - contrato de prestacion de servicios profesionales"/>
    <s v="FEBRERO"/>
    <n v="10"/>
    <n v="0"/>
    <n v="6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0-Prestar servicios profesionales en la Dirección General para  el manejo de redes sociales de la entidad y apoyo periodistico requerido en el marco de la estrategia de comunicaciones y prensa de la UEACOB."/>
  </r>
  <r>
    <x v="522"/>
    <x v="402"/>
    <s v="09 - contratación directa"/>
    <x v="0"/>
    <s v="25 - contrato de prestacion de servicios profesionales"/>
    <s v="FEBRERO"/>
    <n v="10"/>
    <n v="0"/>
    <n v="6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0-Prestar servicios profesionales en la Dirección General para el manejo de redes sociales, divulgación, socialización de información y apoyo periodístico, requerido en el marco de la estrategia de comunicaciones y prensa de la UAECOB."/>
  </r>
  <r>
    <x v="523"/>
    <x v="403"/>
    <s v="09 - contratación directa"/>
    <x v="0"/>
    <s v="25 - contrato de prestacion de servicios profesionales"/>
    <s v="FEBRERO"/>
    <n v="10"/>
    <n v="0"/>
    <n v="6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0-Prestación de servicios profesionales para apoyar a la Dirección en la elaboración, diseño y diagramación de piezas requeridas para los planes, programas, proyectos y procedimientos"/>
  </r>
  <r>
    <x v="524"/>
    <x v="404"/>
    <s v="09 - contratación directa"/>
    <x v="0"/>
    <s v="25 - contrato de prestacion de servicios profesionales"/>
    <s v="JULIO"/>
    <n v="4"/>
    <n v="0"/>
    <n v="204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0-Prestar servicios profesionales en la Dirección, en asuntos de comunicaciones y prensa, para la producción, diseño y edición de material audiovisual de la UAECOB."/>
  </r>
  <r>
    <x v="525"/>
    <x v="405"/>
    <s v="09 - contratación directa"/>
    <x v="0"/>
    <s v="25 - contrato de prestacion de servicios profesionales"/>
    <s v="FEBRERO"/>
    <n v="10"/>
    <n v="0"/>
    <n v="10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0-Prestar servicios profesionales especializados a la Dirección General de la UAECOB en la construcción ,acompañamiento, seguimiento y fortalecimiento de las estrategias de comunicación que adelante la entidad dentro del Distrito Capital"/>
  </r>
  <r>
    <x v="526"/>
    <x v="406"/>
    <s v="09 - contratación directa"/>
    <x v="0"/>
    <s v="25 - contrato de prestacion de servicios profesionales"/>
    <s v="FEBRERO"/>
    <n v="10"/>
    <n v="0"/>
    <n v="54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0-Prestación de servicios profesionales en asuntos de comunicaciones y prensa para apoyar las labores de reportería, periodismo y de divulgación de información y campañas, de acuerdo con la misionalidad de la UAECOB"/>
  </r>
  <r>
    <x v="527"/>
    <x v="407"/>
    <s v="09 - contratación directa"/>
    <x v="0"/>
    <s v="25 - contrato de prestacion de servicios profesionales"/>
    <s v="FEBRERO"/>
    <n v="10"/>
    <n v="0"/>
    <n v="54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0-Prestar servicios profesionales en comunicación y prensa para apoyar la producción y difusión de contenidos periodísticos y audiovisuales de la UAECOB"/>
  </r>
  <r>
    <x v="528"/>
    <x v="408"/>
    <s v="09 - contratación directa"/>
    <x v="0"/>
    <s v="26 - contrato de prestacion de servicios de apoyo a la gestion"/>
    <s v="JULIO"/>
    <n v="4"/>
    <n v="0"/>
    <n v="14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0-Prestar servicios a la Dirección General en la conducción, traslado y movilización de personal, equipos y materiales, garantizando el cumplimiento de las operaciones logísticas y misionales del Cuerpo Oficial de Bomberos de Bogotá"/>
  </r>
  <r>
    <x v="529"/>
    <x v="409"/>
    <s v="09 - contratación directa"/>
    <x v="0"/>
    <s v="25 - contrato de prestacion de servicios profesionales"/>
    <s v="FEBRERO"/>
    <n v="6"/>
    <n v="0"/>
    <n v="552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0-Prestación de servicios profesionales en asuntos de comunicaciones y prensa para revisar los procesos de comunicación de entidad con el fin de evaluar su eficacia interna y externa y detectar ineficiencias en los canales de comunicación"/>
  </r>
  <r>
    <x v="530"/>
    <x v="410"/>
    <s v="02 - selec. abrev. menor cuantía"/>
    <x v="1"/>
    <s v="24 - contrato de servicio"/>
    <s v="ABRIL"/>
    <n v="10"/>
    <n v="0"/>
    <n v="176111922"/>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x v="531"/>
    <x v="283"/>
    <s v="09 - contratación directa"/>
    <x v="0"/>
    <s v="25 - contrato de prestacion de servicios profesionales"/>
    <s v="ENERO"/>
    <n v="6"/>
    <n v="0"/>
    <n v="3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x v="532"/>
    <x v="283"/>
    <s v="09 - contratación directa"/>
    <x v="0"/>
    <s v="25 - contrato de prestacion de servicios profesionales"/>
    <s v="ENERO"/>
    <n v="6"/>
    <n v="0"/>
    <n v="36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x v="533"/>
    <x v="283"/>
    <s v="09 - contratación directa"/>
    <x v="0"/>
    <s v="25 - contrato de prestacion de servicios profesionales"/>
    <s v="ENERO"/>
    <n v="6"/>
    <n v="0"/>
    <n v="546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x v="534"/>
    <x v="411"/>
    <s v="09 - contratación directa"/>
    <x v="0"/>
    <s v="25 - contrato de prestacion de servicios profesionales"/>
    <s v="ENERO"/>
    <n v="8"/>
    <n v="0"/>
    <n v="5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x v="535"/>
    <x v="412"/>
    <s v="09 - contratación directa"/>
    <x v="0"/>
    <s v="25 - contrato de prestacion de servicios profesionales"/>
    <s v="FEBRERO"/>
    <n v="6"/>
    <n v="0"/>
    <n v="40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0-Prestación de servicios profesionales en asuntos de comunicaciones y prensa para detectar las necesidades de la Entidad y facilitar la inserción de nuevas estrategias de comunicación"/>
  </r>
  <r>
    <x v="536"/>
    <x v="413"/>
    <s v="09 - contratación directa"/>
    <x v="0"/>
    <s v="26 - contrato de prestacion de servicios de apoyo a la gestion"/>
    <s v="ENERO"/>
    <n v="6"/>
    <n v="0"/>
    <n v="216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x v="537"/>
    <x v="414"/>
    <s v="09 - contratación directa"/>
    <x v="0"/>
    <s v="26 - contrato de prestacion de servicios de apoyo a la gestion"/>
    <s v="ENERO"/>
    <n v="5"/>
    <n v="0"/>
    <n v="14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x v="538"/>
    <x v="415"/>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x v="539"/>
    <x v="416"/>
    <s v="09 - contratación directa"/>
    <x v="0"/>
    <s v="26 - contrato de prestacion de servicios de apoyo a la gestion"/>
    <s v="ENERO"/>
    <n v="6"/>
    <n v="0"/>
    <n v="18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x v="540"/>
    <x v="417"/>
    <s v="09 - contratación directa"/>
    <x v="0"/>
    <s v="26 - contrato de prestacion de servicios de apoyo a la gestion"/>
    <s v="ENERO"/>
    <n v="6"/>
    <n v="0"/>
    <n v="14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x v="541"/>
    <x v="418"/>
    <s v="09 - contratación directa"/>
    <x v="0"/>
    <s v="25 - contrato de prestacion de servicios profesionales"/>
    <s v="ENERO"/>
    <n v="6"/>
    <n v="0"/>
    <n v="33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x v="542"/>
    <x v="419"/>
    <s v="09 - contratación directa"/>
    <x v="0"/>
    <s v="26 - contrato de prestacion de servicios de apoyo a la gestion"/>
    <s v="ENERO"/>
    <n v="6"/>
    <n v="0"/>
    <n v="2214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x v="543"/>
    <x v="207"/>
    <s v="09 - contratación directa"/>
    <x v="0"/>
    <s v="26 - contrato de prestacion de servicios de apoyo a la gestion"/>
    <s v="ENERO"/>
    <n v="7"/>
    <n v="0"/>
    <n v="21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x v="544"/>
    <x v="420"/>
    <s v="09 - contratación directa"/>
    <x v="0"/>
    <s v="25 - contrato de prestacion de servicios profesionales"/>
    <s v="ENERO"/>
    <n v="11"/>
    <n v="0"/>
    <n v="6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x v="545"/>
    <x v="421"/>
    <s v="09 - contratación directa"/>
    <x v="0"/>
    <s v="25 - contrato de prestacion de servicios profesionales"/>
    <s v="ENERO"/>
    <n v="6"/>
    <n v="0"/>
    <n v="36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x v="546"/>
    <x v="422"/>
    <s v="09 - contratación directa"/>
    <x v="0"/>
    <s v="25 - contrato de prestacion de servicios profesionales"/>
    <s v="JULIO"/>
    <n v="5"/>
    <n v="4"/>
    <n v="360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x v="547"/>
    <x v="423"/>
    <s v="04 - contratación mínima cuantía"/>
    <x v="1"/>
    <s v="08 - contrato de suministro"/>
    <s v="MARZO"/>
    <n v="1"/>
    <n v="12"/>
    <n v="2386600"/>
    <s v="NO"/>
    <x v="9"/>
    <s v="Fatima Veronica Quintero Nuñez"/>
    <x v="0"/>
    <s v="Subdirector@ de Gestión Corporativa"/>
    <x v="0"/>
    <s v="76101501;_x000a_47131829;"/>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x v="548"/>
    <x v="424"/>
    <s v="09 - contratación directa"/>
    <x v="0"/>
    <s v="25 - contrato de prestacion de servicios profesionales"/>
    <s v="ENERO"/>
    <n v="10"/>
    <n v="0"/>
    <n v="51610870"/>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x v="549"/>
    <x v="321"/>
    <s v="09 - contratación directa"/>
    <x v="0"/>
    <s v="26 - contrato de prestacion de servicios de apoyo a la gestion"/>
    <s v="ENERO"/>
    <n v="6"/>
    <n v="0"/>
    <n v="19705968"/>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x v="550"/>
    <x v="301"/>
    <s v="09 - contratación directa"/>
    <x v="0"/>
    <s v="26 - contrato de prestacion de servicios de apoyo a la gestion"/>
    <s v="ENERO"/>
    <n v="6"/>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x v="551"/>
    <x v="425"/>
    <s v="09 - contratación directa"/>
    <x v="0"/>
    <s v="25 - contrato de prestacion de servicios profesionales"/>
    <s v="ENERO"/>
    <n v="10"/>
    <n v="0"/>
    <n v="3096652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x v="552"/>
    <x v="426"/>
    <s v="01 - licitación pública"/>
    <x v="1"/>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x v="553"/>
    <x v="427"/>
    <s v="02 - selec. abrev. menor cuantía"/>
    <x v="1"/>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x v="554"/>
    <x v="428"/>
    <s v="17 - acuerdo marco de precios"/>
    <x v="1"/>
    <s v="03 - contrato de prestacion de servicios"/>
    <s v="ENERO"/>
    <n v="1"/>
    <n v="0"/>
    <n v="44996886"/>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x v="555"/>
    <x v="428"/>
    <s v="17 - acuerdo marco de precios"/>
    <x v="1"/>
    <s v="03 - contrato de prestacion de servicios"/>
    <s v="ENERO"/>
    <n v="1"/>
    <n v="0"/>
    <n v="45000000"/>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599-BS-No a-li-Adición y prórroga No. 2 al contrato 597 de 2025  que tiene como objeto &quot; Contratar la prestación del servicio de aseo y cafetería incluido insumos para la UAE Cuerpo Oficial de Bomberos -SGC"/>
  </r>
  <r>
    <x v="556"/>
    <x v="428"/>
    <s v="17 - acuerdo marco de precios"/>
    <x v="1"/>
    <s v="03 - contrato de prestacion de servicios"/>
    <s v="ENERO"/>
    <n v="1"/>
    <n v="0"/>
    <n v="25000000"/>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600-BS-No a-li-Adición y prórroga No. 2 al contrato 597 de 2025  que tiene como objeto &quot; Contratar la prestación del servicio de aseo y cafetería incluido insumos para la UAE Cuerpo Oficial de Bomberos -SGC"/>
  </r>
  <r>
    <x v="557"/>
    <x v="429"/>
    <s v="04 - contratación mínima cuantía"/>
    <x v="1"/>
    <s v="03 - contrato de prestacion de servicios"/>
    <s v="ABRIL"/>
    <n v="0"/>
    <n v="0"/>
    <n v="22554375"/>
    <s v="NO"/>
    <x v="9"/>
    <s v="Fatima Veronica Quintero Nuñez"/>
    <x v="0"/>
    <s v="Subdirector@ de Gestión Corporativa"/>
    <x v="0"/>
    <s v="47111502;_x000a_47111503;_x000a_73151802;_x000a_731521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x v="558"/>
    <x v="307"/>
    <s v="09 - contratación directa"/>
    <x v="0"/>
    <s v="25 - contrato de prestacion de servicios profesionales"/>
    <s v="ENERO"/>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559"/>
    <x v="430"/>
    <s v="04 - contratación mínima cuantía"/>
    <x v="1"/>
    <s v="08 - contrato de suministro"/>
    <s v="MAYO"/>
    <n v="4"/>
    <n v="0"/>
    <n v="30000000"/>
    <s v="NO"/>
    <x v="9"/>
    <s v="Fatima Veronica Quintero Nuñez"/>
    <x v="2"/>
    <s v="Subdirector@ de Gestión del Riesgo"/>
    <x v="0"/>
    <s v="55121715;"/>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1-Suministro de banderas y accesorios para las sedes UAECOB-SGC"/>
  </r>
  <r>
    <x v="560"/>
    <x v="431"/>
    <s v="09 - contratación directa"/>
    <x v="0"/>
    <s v="25 - contrato de prestacion de servicios profesionales"/>
    <s v="FEBRERO"/>
    <n v="10"/>
    <n v="0"/>
    <n v="50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x v="561"/>
    <x v="432"/>
    <s v="09 - contratación directa"/>
    <x v="0"/>
    <s v="25 - contrato de prestacion de servicios profesionales"/>
    <s v="FEBRERO"/>
    <n v="5"/>
    <n v="15"/>
    <n v="539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x v="562"/>
    <x v="433"/>
    <s v="09 - contratación directa"/>
    <x v="0"/>
    <s v="25 - contrato de prestacion de servicios profesionales"/>
    <s v="FEBRERO"/>
    <n v="5"/>
    <n v="0"/>
    <n v="45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x v="563"/>
    <x v="434"/>
    <s v="09 - contratación directa"/>
    <x v="0"/>
    <s v="25 - contrato de prestacion de servicios profesionales"/>
    <s v="FEBRERO"/>
    <n v="5"/>
    <n v="0"/>
    <n v="30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0-Adición y prórroga al Contrato 211 de 2025 con objeto &quot;Prestación de servicios profesionales en la Dirección en comunicaciones y prensa, para apoyar la difusión de la información al público interno y externo de la UAECOB&quot;"/>
  </r>
  <r>
    <x v="564"/>
    <x v="435"/>
    <s v="09 - contratación directa"/>
    <x v="0"/>
    <s v="25 - contrato de prestacion de servicios profesionales"/>
    <s v="FEBRERO"/>
    <n v="5"/>
    <n v="0"/>
    <n v="2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x v="565"/>
    <x v="436"/>
    <s v="09 - contratación directa"/>
    <x v="0"/>
    <s v="25 - contrato de prestacion de servicios profesionales"/>
    <s v="FEBRERO"/>
    <n v="5"/>
    <n v="0"/>
    <n v="2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0-Adición y prórroga al Contrato 285 de 2025 con objeto &quot;Prestar apoyo técnico en la Dirección, en asuntos de comunicaciones y prensa, para la producción, diseño y edición de material audiovisual de la UAECOB&quot;"/>
  </r>
  <r>
    <x v="566"/>
    <x v="437"/>
    <s v="09 - contratación directa"/>
    <x v="0"/>
    <s v="26 - contrato de prestacion de servicios de apoyo a la gestion"/>
    <s v="FEBRERO"/>
    <n v="5"/>
    <n v="0"/>
    <n v="175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0-Adición y prórroga al Contrato 278 de 2025 con objeto &quot;Prestación de servicios como conductor en los diferentes recorridos de carácter operativo que se requieran en la Dirección General&quot;"/>
  </r>
  <r>
    <x v="567"/>
    <x v="438"/>
    <s v="09 - contratación directa"/>
    <x v="0"/>
    <s v="25 - contrato de prestacion de servicios profesionales"/>
    <s v="FEBRERO"/>
    <n v="5"/>
    <n v="0"/>
    <n v="26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0-Adición y prórroga al Contrato 356 de 2025 con objeto &quot;Prestación de servicios profesionales en asuntos de comunicaciones y prensa para apoyar la creación y divulgación audiovisual relacionada con la misionalidad de la UAECOB&quot;"/>
  </r>
  <r>
    <x v="568"/>
    <x v="439"/>
    <s v="09 - contratación directa"/>
    <x v="0"/>
    <s v="26 - contrato de prestacion de servicios de apoyo a la gestion"/>
    <s v="FEBRERO"/>
    <n v="11"/>
    <n v="0"/>
    <n v="42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0-Prestación de servicios de apoyo a la gestión en asuntos de comunicaciones y prensa para apoyar las labores de reportería, periodismo y de divulgación de información de acuerdo con la misionalidad de la UAECOB."/>
  </r>
  <r>
    <x v="569"/>
    <x v="440"/>
    <s v="02 - selec. abrev. menor cuantía"/>
    <x v="1"/>
    <s v="11 - orden de prestacion de servicios"/>
    <s v="MARZO"/>
    <n v="3"/>
    <n v="0"/>
    <n v="180312424"/>
    <s v="NO"/>
    <x v="8"/>
    <s v="William Tovar Segura"/>
    <x v="2"/>
    <s v="Subdirector@ de Gestión del Riesgo"/>
    <x v="0"/>
    <s v="78121600;78131800;92111600;_x000a_721415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x v="570"/>
    <x v="441"/>
    <s v="09 - contratación directa"/>
    <x v="0"/>
    <s v="25 - contrato de prestacion de servicios profesionales"/>
    <s v="ENERO"/>
    <n v="10"/>
    <n v="0"/>
    <n v="65000000"/>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x v="571"/>
    <x v="441"/>
    <s v="09 - contratación directa"/>
    <x v="0"/>
    <s v="25 - contrato de prestacion de servicios profesionales"/>
    <s v="ENERO"/>
    <n v="10"/>
    <n v="0"/>
    <n v="77000000"/>
    <s v="NO"/>
    <x v="3"/>
    <s v="Carlos Andres Vargas Puert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x v="572"/>
    <x v="442"/>
    <s v="09 - contratación directa"/>
    <x v="0"/>
    <s v="26 - contrato de prestacion de servicios de apoyo a la gestion"/>
    <s v="ENERO"/>
    <n v="8"/>
    <n v="0"/>
    <n v="24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x v="573"/>
    <x v="443"/>
    <s v="09 - contratación directa"/>
    <x v="0"/>
    <s v="25 - contrato de prestacion de servicios profesionales"/>
    <s v="ENERO"/>
    <n v="6"/>
    <n v="0"/>
    <n v="48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x v="574"/>
    <x v="444"/>
    <s v="17 - acuerdo marco de precios"/>
    <x v="1"/>
    <s v="01 - orden de compra"/>
    <s v="SEPTIEMBRE"/>
    <n v="3"/>
    <n v="0"/>
    <n v="63928499"/>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Si Secop "/>
    <s v="20260618-BS-8173-2--Adquisición de equipos, herramientas y accesorios (E.H.A.) para la atención de emergencias de la UAE Cuerpo Oficial de Bomberos de Bogotá - S.O."/>
  </r>
  <r>
    <x v="575"/>
    <x v="445"/>
    <s v="17 - acuerdo marco de precios"/>
    <x v="1"/>
    <s v="01 - orden de compra"/>
    <s v="ENERO"/>
    <n v="2"/>
    <n v="0"/>
    <n v="5093340"/>
    <s v="NO"/>
    <x v="7"/>
    <s v="Yenire Yohansy Lozano Ascanio"/>
    <x v="2"/>
    <s v="Subdirector@ de Gestión del Riesgo"/>
    <x v="0"/>
    <n v="801116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x v="576"/>
    <x v="446"/>
    <s v="91 - n/a acto administrativo (resolución, decreto, acuerdo, etc.)"/>
    <x v="1"/>
    <s v="12 - resolucion"/>
    <s v="AGOSTO"/>
    <n v="11"/>
    <n v="0"/>
    <n v="180000000"/>
    <s v="NO"/>
    <x v="5"/>
    <s v="Jose Andres Ponce Caicedo"/>
    <x v="1"/>
    <s v="Subdirector@ de Gestión Corporativa"/>
    <x v="1"/>
    <s v="NA"/>
    <x v="4"/>
    <s v="No a"/>
    <s v="li"/>
    <s v="NA"/>
    <s v="NA"/>
    <s v="NA"/>
    <s v="N/A"/>
    <s v="N/A"/>
    <s v="N/A-N/A"/>
    <s v="N/A"/>
    <s v="N/A"/>
    <s v="N/A_N/A"/>
    <s v="N/A-N/A N/A_N/A"/>
    <x v="1"/>
    <x v="1"/>
    <x v="6"/>
    <s v="Si Secop "/>
    <s v="20260620-BS-No a-li-SGH - INCENTIVOS"/>
  </r>
  <r>
    <x v="577"/>
    <x v="447"/>
    <s v="09 - contratación directa"/>
    <x v="0"/>
    <s v="25 - contrato de prestacion de servicios profesionales"/>
    <s v="ENERO"/>
    <n v="3"/>
    <n v="0"/>
    <n v="294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x v="578"/>
    <x v="193"/>
    <s v="17 - acuerdo marco de precios"/>
    <x v="1"/>
    <s v="08 - contrato de suministro"/>
    <s v="MARZO"/>
    <n v="10"/>
    <n v="0"/>
    <n v="1050000000"/>
    <s v="NO"/>
    <x v="6"/>
    <s v="Omer Mauricio Rivera Ruiz"/>
    <x v="2"/>
    <s v="Subdirector@ de Gestión del Riesgo"/>
    <x v="0"/>
    <n v="151015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x v="579"/>
    <x v="306"/>
    <s v="09 - contratación directa"/>
    <x v="0"/>
    <s v="26 - contrato de prestacion de servicios de apoyo a la gestion"/>
    <s v="ENERO"/>
    <n v="6"/>
    <n v="0"/>
    <n v="1689083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x v="580"/>
    <x v="448"/>
    <s v="09 - contratación directa"/>
    <x v="0"/>
    <s v="26 - contrato de prestacion de servicios de apoyo a la gestion"/>
    <s v="ENERO"/>
    <n v="6"/>
    <n v="0"/>
    <n v="2211894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x v="581"/>
    <x v="449"/>
    <s v="09 - contratación directa"/>
    <x v="0"/>
    <s v="25 - contrato de prestacion de servicios profesionales"/>
    <s v="ENERO"/>
    <n v="7"/>
    <n v="0"/>
    <n v="54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x v="582"/>
    <x v="450"/>
    <s v="09 - contratación directa"/>
    <x v="0"/>
    <s v="26 - contrato de prestacion de servicios de apoyo a la gestion"/>
    <s v="ENERO"/>
    <n v="7"/>
    <n v="0"/>
    <n v="2583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x v="583"/>
    <x v="451"/>
    <s v="09 - contratación directa"/>
    <x v="0"/>
    <s v="26 - contrato de prestacion de servicios de apoyo a la gestion"/>
    <s v="ENERO"/>
    <n v="7"/>
    <n v="0"/>
    <n v="25802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x v="584"/>
    <x v="452"/>
    <s v="09 - contratación directa"/>
    <x v="0"/>
    <s v="26 - contrato de prestacion de servicios de apoyo a la gestion"/>
    <s v="FEBRERO"/>
    <n v="4"/>
    <n v="0"/>
    <n v="13136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x v="585"/>
    <x v="453"/>
    <s v="09 - contratación directa"/>
    <x v="0"/>
    <s v="25 - contrato de prestacion de servicios profesionales"/>
    <s v="ENERO"/>
    <n v="7"/>
    <n v="0"/>
    <n v="49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x v="586"/>
    <x v="259"/>
    <s v="09 - contratación directa"/>
    <x v="0"/>
    <s v="26 - contrato de prestacion de servicios de apoyo a la gestion"/>
    <s v="ENERO"/>
    <n v="7"/>
    <n v="0"/>
    <n v="2625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x v="587"/>
    <x v="274"/>
    <s v="09 - contratación directa"/>
    <x v="0"/>
    <s v="25 - contrato de prestacion de servicios profesionales"/>
    <s v="ENERO"/>
    <n v="6"/>
    <n v="0"/>
    <n v="21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x v="588"/>
    <x v="454"/>
    <s v="04 - contratación mínima cuantía"/>
    <x v="1"/>
    <s v="23 - contrato de alquiler"/>
    <s v="FEBRERO"/>
    <n v="2"/>
    <n v="0"/>
    <n v="6664000"/>
    <s v="NO"/>
    <x v="0"/>
    <s v="Paula Ximena Henao Escobar"/>
    <x v="0"/>
    <s v="Subdirector@ de Gestión Corporativa"/>
    <x v="0"/>
    <n v="81112401"/>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x v="589"/>
    <x v="455"/>
    <s v="17 - acuerdo marco de precios"/>
    <x v="1"/>
    <s v="03 - contrato de prestacion de servicios"/>
    <s v="FEBRERO"/>
    <n v="2"/>
    <n v="0"/>
    <n v="20246686"/>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x v="590"/>
    <x v="456"/>
    <s v="09 - contratación directa"/>
    <x v="0"/>
    <s v="26 - contrato de prestacion de servicios de apoyo a la gestion"/>
    <s v="ENERO"/>
    <n v="5"/>
    <n v="0"/>
    <n v="16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x v="591"/>
    <x v="457"/>
    <s v="01 - licitación pública"/>
    <x v="1"/>
    <s v="03 - contrato de prestacion de servicios"/>
    <s v="MAYO"/>
    <n v="0"/>
    <n v="0"/>
    <n v="273829523"/>
    <s v="NO"/>
    <x v="9"/>
    <s v="Fatima Veronica Quintero Nuñez"/>
    <x v="0"/>
    <s v="Subdirector@ de Gestión Corporativa"/>
    <x v="0"/>
    <s v="921215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x v="592"/>
    <x v="458"/>
    <s v="09 - contratación directa"/>
    <x v="0"/>
    <s v="25 - contrato de prestacion de servicios profesionales"/>
    <s v="NO APLICA"/>
    <n v="0"/>
    <n v="0"/>
    <n v="95000000"/>
    <s v="NO"/>
    <x v="12"/>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x v="593"/>
    <x v="458"/>
    <s v="17 - acuerdo marco de precios"/>
    <x v="0"/>
    <s v="03 - contrato de prestacion de servicios"/>
    <s v="NO APLICA"/>
    <n v="0"/>
    <n v="0"/>
    <n v="65650000"/>
    <s v="NO"/>
    <x v="12"/>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TH-8126-4--Congelamiento recursos 5% proyecto 8126"/>
  </r>
  <r>
    <x v="594"/>
    <x v="458"/>
    <s v="09 - contratación directa"/>
    <x v="0"/>
    <s v="25 - contrato de prestacion de servicios profesionales"/>
    <s v="NO APLICA"/>
    <n v="0"/>
    <n v="0"/>
    <n v="251642325"/>
    <s v="NO"/>
    <x v="13"/>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x v="595"/>
    <x v="459"/>
    <s v="01 - licitación pública"/>
    <x v="0"/>
    <s v="05 - contrato de obra"/>
    <s v="NO APLICA"/>
    <n v="0"/>
    <n v="0"/>
    <n v="3760200"/>
    <s v="NO"/>
    <x v="13"/>
    <s v="Fatima Veronica Quintero Nuñez"/>
    <x v="2"/>
    <s v="Subdirector@ de Gestión del Riesgo"/>
    <x v="0"/>
    <s v="72121400; 72151700; 72151700; 81101500"/>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TH-8173-7--Congelamiento recursos 5% proyecto 8173"/>
  </r>
  <r>
    <x v="596"/>
    <x v="458"/>
    <s v="09 - contratación directa"/>
    <x v="0"/>
    <s v="25 - contrato de prestacion de servicios profesionales"/>
    <s v="NO APLICA"/>
    <n v="0"/>
    <n v="0"/>
    <n v="20296300"/>
    <s v="NO"/>
    <x v="14"/>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x v="597"/>
    <x v="458"/>
    <s v="09 - contratación directa"/>
    <x v="0"/>
    <s v="25 - contrato de prestacion de servicios profesionales"/>
    <s v="NO APLICA"/>
    <n v="0"/>
    <n v="0"/>
    <n v="55442250"/>
    <s v="NO"/>
    <x v="14"/>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x v="598"/>
    <x v="458"/>
    <s v="02 - selec. abrev. menor cuantía"/>
    <x v="0"/>
    <s v="03 - contrato de prestacion de servicios"/>
    <s v="NO APLICA"/>
    <n v="0"/>
    <n v="0"/>
    <n v="114350000"/>
    <s v="NO"/>
    <x v="12"/>
    <s v="Paula Ximena Henao Escobar"/>
    <x v="0"/>
    <s v="Subdirector@ de Gestión Corporativa"/>
    <x v="0"/>
    <s v="43191500_x000a_43221500_x000a_43222800_x000a_81161700_x000a_7215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TH-8126-5--Congelamiento recursos 5% proyecto 8126"/>
  </r>
  <r>
    <x v="599"/>
    <x v="458"/>
    <s v="09 - contratación directa"/>
    <x v="0"/>
    <s v="25 - contrato de prestacion de servicios profesionales"/>
    <s v="NO APLICA"/>
    <n v="0"/>
    <n v="0"/>
    <n v="51177500"/>
    <s v="NO"/>
    <x v="15"/>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0-Congelamiento recursos 5% proyecto 8126"/>
  </r>
  <r>
    <x v="600"/>
    <x v="458"/>
    <s v="09 - contratación directa"/>
    <x v="0"/>
    <s v="25 - contrato de prestacion de servicios profesionales"/>
    <s v="NO APLICA"/>
    <n v="0"/>
    <n v="0"/>
    <n v="150000000"/>
    <s v="NO"/>
    <x v="16"/>
    <s v="Paula Ximena Henao Escobar"/>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x v="601"/>
    <x v="458"/>
    <s v="09 - contratación directa"/>
    <x v="0"/>
    <s v="25 - contrato de prestacion de servicios profesionales"/>
    <s v="NO APLICA"/>
    <n v="0"/>
    <n v="0"/>
    <n v="41615310"/>
    <s v="NO"/>
    <x v="17"/>
    <s v="Diana Marcela Zarabanda Suar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x v="602"/>
    <x v="458"/>
    <s v="09 - contratación directa"/>
    <x v="0"/>
    <s v="25 - contrato de prestacion de servicios profesionales"/>
    <s v="NO APLICA"/>
    <n v="0"/>
    <n v="0"/>
    <n v="24969186"/>
    <s v="NO"/>
    <x v="18"/>
    <s v="Carlos Andres Vargas Puert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x v="603"/>
    <x v="458"/>
    <s v="09 - contratación directa"/>
    <x v="0"/>
    <s v="25 - contrato de prestacion de servicios profesionales"/>
    <s v="NO APLICA"/>
    <n v="0"/>
    <n v="0"/>
    <n v="96470911"/>
    <s v="NO"/>
    <x v="19"/>
    <s v="Mónica María Pérez Barragán"/>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x v="604"/>
    <x v="458"/>
    <s v="09 - contratación directa"/>
    <x v="0"/>
    <s v="25 - contrato de prestacion de servicios profesionales"/>
    <s v="NO APLICA"/>
    <n v="0"/>
    <n v="0"/>
    <n v="28365368"/>
    <s v="NO"/>
    <x v="20"/>
    <s v="Jose Andres Ponce Caicedo"/>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x v="605"/>
    <x v="458"/>
    <s v="02 - selec. abrev. menor cuantía"/>
    <x v="0"/>
    <s v="17 - contrato de mantenimiento"/>
    <s v="NO APLICA"/>
    <n v="0"/>
    <n v="0"/>
    <n v="71000000"/>
    <s v="NO"/>
    <x v="13"/>
    <s v="Fatima Veronica Quintero Nuñez"/>
    <x v="0"/>
    <s v="Subdirector@ de Gestión Corporativa"/>
    <x v="0"/>
    <s v="72151000;_x000a_72101500;_x000a_72153200;_x000a_ 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TH-8126-8--Congelamiento recursos 5% proyecto 8126"/>
  </r>
  <r>
    <x v="606"/>
    <x v="458"/>
    <s v="01 - licitación pública"/>
    <x v="0"/>
    <s v="05 - contrato de obra"/>
    <s v="NO APLICA"/>
    <n v="0"/>
    <n v="0"/>
    <n v="166144100"/>
    <s v="NO"/>
    <x v="13"/>
    <s v="Fatima Veronica Quintero Nuñez"/>
    <x v="0"/>
    <s v="Subdirector@ de Gestión Corporativa"/>
    <x v="0"/>
    <s v="72102900; _x000a_72121400; _x000a_72151700;_x000a_72154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TH-8126-8--Congelamiento recursos 5% proyecto 8126"/>
  </r>
  <r>
    <x v="607"/>
    <x v="458"/>
    <s v="17 - acuerdo marco de precios"/>
    <x v="0"/>
    <s v="03 - contrato de prestacion de servicios"/>
    <s v="NO APLICA"/>
    <n v="0"/>
    <n v="0"/>
    <n v="26250000"/>
    <s v="NO"/>
    <x v="13"/>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TH-8126-8--Congelamiento recursos 5% proyecto 8126"/>
  </r>
  <r>
    <x v="608"/>
    <x v="460"/>
    <s v="09 - contratación directa"/>
    <x v="0"/>
    <s v="25 - contrato de prestacion de servicios profesionales"/>
    <s v="ENERO"/>
    <n v="7"/>
    <n v="0"/>
    <n v="55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x v="609"/>
    <x v="461"/>
    <s v="09 - contratación directa"/>
    <x v="0"/>
    <s v="26 - contrato de prestacion de servicios de apoyo a la gestion"/>
    <s v="ENERO"/>
    <n v="7"/>
    <n v="0"/>
    <n v="2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x v="610"/>
    <x v="462"/>
    <s v="09 - contratación directa"/>
    <x v="0"/>
    <s v="25 - contrato de prestacion de servicios profesionales"/>
    <s v="ENERO"/>
    <n v="6"/>
    <n v="0"/>
    <n v="4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x v="611"/>
    <x v="410"/>
    <s v="02 - selec. abrev. menor cuantía"/>
    <x v="1"/>
    <s v="11 - orden de prestacion de servicios"/>
    <s v="MARZO"/>
    <n v="3"/>
    <n v="0"/>
    <n v="400000000"/>
    <s v="NO"/>
    <x v="8"/>
    <s v="William Tovar Segura"/>
    <x v="2"/>
    <s v="Subdirector@ de Gestión del Riesgo"/>
    <x v="0"/>
    <s v="80141900_x000a_90111500_x000a_90111600_x000a_80141600_x000a_80161502"/>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x v="612"/>
    <x v="463"/>
    <s v="17 - acuerdo marco de precios"/>
    <x v="1"/>
    <s v="03 - contrato de prestacion de servicios"/>
    <s v="FEBRERO"/>
    <n v="3"/>
    <n v="20"/>
    <n v="52231036"/>
    <s v="NO"/>
    <x v="9"/>
    <s v="Fatima Veronica Quintero Nuñez"/>
    <x v="1"/>
    <s v="Subdirector@ de Gestión Corporativa"/>
    <x v="1"/>
    <s v="78102206;"/>
    <x v="4"/>
    <s v="No a"/>
    <s v="li"/>
    <s v="NA"/>
    <s v="NA"/>
    <s v="NA"/>
    <s v="N/A"/>
    <s v="N/A"/>
    <s v="N/A-N/A"/>
    <s v="N/A"/>
    <s v="N/A"/>
    <s v="N/A_N/A"/>
    <s v="N/A-N/A N/A_N/A"/>
    <x v="1"/>
    <x v="1"/>
    <x v="6"/>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613"/>
    <x v="464"/>
    <s v="17 - acuerdo marco de precios"/>
    <x v="1"/>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1-Suministro de materiales, equipos y herramientas para el mejoramiento integral de las instalaciones para la Unidad Administrativa Especial Cuerpo Oficial de Bomberos Bogotá -SGC"/>
  </r>
  <r>
    <x v="614"/>
    <x v="465"/>
    <s v="17 - acuerdo marco de precios"/>
    <x v="1"/>
    <s v="03 - contrato de prestacion de servicios"/>
    <s v="MAYO"/>
    <n v="2"/>
    <n v="0"/>
    <n v="289132047"/>
    <s v="NO"/>
    <x v="9"/>
    <s v="Fatima Veronica Quintero Nuñez"/>
    <x v="0"/>
    <s v="Subdirector@ de Gestión Corporativa"/>
    <x v="0"/>
    <s v="44121700;_x000a_44121800;_x000a_44121900;_x000a_441220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x v="615"/>
    <x v="466"/>
    <s v="91 - n/a acto administrativo (resolución, decreto, acuerdo, etc.)"/>
    <x v="1"/>
    <s v="12 - resolucion"/>
    <s v="MARZO"/>
    <n v="6"/>
    <n v="0"/>
    <n v="51000000"/>
    <s v="NO"/>
    <x v="5"/>
    <s v="Jose Andres Ponce Caicedo"/>
    <x v="1"/>
    <s v="Subdirector@ de Gestión Corporativa"/>
    <x v="1"/>
    <s v="N/A"/>
    <x v="4"/>
    <s v="No a"/>
    <s v="li"/>
    <s v="NA"/>
    <s v="NA"/>
    <s v="NA"/>
    <s v="N/A"/>
    <s v="N/A"/>
    <s v="N/A-N/A"/>
    <s v="N/A"/>
    <s v="N/A"/>
    <s v="N/A_N/A"/>
    <s v="N/A-N/A N/A_N/A"/>
    <x v="1"/>
    <x v="1"/>
    <x v="6"/>
    <s v="Si Secop "/>
    <s v="20260659-BS-No a-li-SGH - Utilización lista de elegibles CNSC para provisión de vacantes"/>
  </r>
  <r>
    <x v="616"/>
    <x v="467"/>
    <s v="09 - contratación directa"/>
    <x v="0"/>
    <s v="25 - contrato de prestacion de servicios profesionales"/>
    <s v="ABRIL"/>
    <n v="1"/>
    <n v="15"/>
    <n v="10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x v="617"/>
    <x v="468"/>
    <s v="06 - concurso de méritos abierto"/>
    <x v="1"/>
    <s v="03 - contrato de prestacion de servicios"/>
    <s v="MAYO"/>
    <n v="24"/>
    <n v="0"/>
    <n v="0"/>
    <s v="NO"/>
    <x v="5"/>
    <s v="Jose Andres Ponce Caicedo"/>
    <x v="3"/>
    <s v="Subdirector@ de Gestión Corporativa"/>
    <x v="4"/>
    <n v="84131605"/>
    <x v="4"/>
    <s v="No a"/>
    <s v="li"/>
    <s v=" "/>
    <s v=" "/>
    <s v=" "/>
    <s v="N/A"/>
    <s v="N/A"/>
    <s v="N/A-N/A"/>
    <s v="N/A"/>
    <s v="N/A"/>
    <s v="N/A_N/A"/>
    <s v="N/A-N/A N/A_N/A"/>
    <x v="17"/>
    <x v="1"/>
    <x v="6"/>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x v="618"/>
    <x v="469"/>
    <s v="09 - contratación directa"/>
    <x v="0"/>
    <s v="26 - contrato de prestacion de servicios de apoyo a la gestion"/>
    <s v="MARZO"/>
    <n v="1"/>
    <n v="15"/>
    <n v="51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x v="619"/>
    <x v="470"/>
    <s v="09 - contratación directa"/>
    <x v="0"/>
    <s v="25 - contrato de prestacion de servicios profesionales"/>
    <s v="MARZO"/>
    <n v="1"/>
    <n v="15"/>
    <n v="165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x v="620"/>
    <x v="471"/>
    <s v="09 - contratación directa"/>
    <x v="0"/>
    <s v="25 - contrato de prestacion de servicios profesionales"/>
    <s v="MAYO"/>
    <n v="2"/>
    <n v="0"/>
    <n v="68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x v="621"/>
    <x v="472"/>
    <s v="09 - contratación directa"/>
    <x v="0"/>
    <s v="26 - contrato de prestacion de servicios de apoyo a la gestion"/>
    <s v="ABRIL"/>
    <n v="2"/>
    <n v="0"/>
    <n v="124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x v="622"/>
    <x v="473"/>
    <s v="09 - contratación directa"/>
    <x v="1"/>
    <s v="24 - contrato de servicio"/>
    <s v="ABRIL"/>
    <n v="2"/>
    <n v="26"/>
    <n v="57246059"/>
    <s v="NO"/>
    <x v="0"/>
    <s v="Paula Ximena Henao Escobar"/>
    <x v="1"/>
    <s v="Subdirector@ de Gestión Corporativa"/>
    <x v="1"/>
    <n v="80111600"/>
    <x v="4"/>
    <s v="No a"/>
    <s v="li"/>
    <s v="NA"/>
    <s v="NA"/>
    <s v="NA"/>
    <s v="N/A"/>
    <s v="N/A"/>
    <s v="N/A-N/A"/>
    <s v="N/A"/>
    <s v="N/A"/>
    <s v="N/A_N/A"/>
    <s v="N/A-N/A N/A_N/A"/>
    <x v="1"/>
    <x v="1"/>
    <x v="6"/>
    <s v="No Secop"/>
    <s v="20260667-BS-No a-li-Adición y prórroga al Contrato No. 363-2025 cuyo objeto es: Contratar los servicios de canales de datos dedicados para la UAE Cuerpo Oficial de Bomberos de Bogotá – TIC"/>
  </r>
  <r>
    <x v="623"/>
    <x v="474"/>
    <s v="01 - licitación pública"/>
    <x v="1"/>
    <s v="06 - contrato de compraventa"/>
    <s v="MARZO"/>
    <n v="12"/>
    <n v="0"/>
    <n v="1166406100"/>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x v="624"/>
    <x v="475"/>
    <s v="91 - n/a acto administrativo (resolución, decreto, acuerdo, etc.)"/>
    <x v="1"/>
    <s v="03 - contrato de prestacion de servicios"/>
    <s v="MARZO"/>
    <n v="1"/>
    <n v="0"/>
    <n v="3212500"/>
    <s v="NO"/>
    <x v="0"/>
    <s v="Paula Ximena Henao Escobar"/>
    <x v="0"/>
    <s v="Subdirector@ de Gestión Corporativa"/>
    <x v="5"/>
    <s v="N/A"/>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x v="625"/>
    <x v="476"/>
    <s v="03 - selec. abrev. subasta inversa"/>
    <x v="1"/>
    <s v="06 - contrato de compraventa"/>
    <s v="MARZO"/>
    <n v="0"/>
    <n v="0"/>
    <n v="628000"/>
    <s v="NO"/>
    <x v="9"/>
    <s v="Fatima Veronica Quintero Nuñez"/>
    <x v="2"/>
    <s v="Subdirector@ de Gestión del Riesgo"/>
    <x v="0"/>
    <s v="24131500;_x000a_52141500;_x000a_52151600;_x000a_ 52152000;_x000a_52152300; _x000a_521615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1-Adición No. 1 al contrato 709 de 2025 que tiene como objeto “Adquisicion de equipos electrodomésticos para las instalaciones de la UAE Cuerpo Oficial de Bomberos- SGC&quot;"/>
  </r>
  <r>
    <x v="626"/>
    <x v="477"/>
    <s v="09 - contratación directa"/>
    <x v="1"/>
    <s v="09 - convenio interadministrativo"/>
    <s v="JULIO"/>
    <n v="12"/>
    <n v="0"/>
    <n v="500000000"/>
    <s v="NO"/>
    <x v="0"/>
    <s v="Paula Ximena Henao Escobar"/>
    <x v="0"/>
    <s v="Subdirector@ de Gestión Corporativa"/>
    <x v="0"/>
    <s v="81111500; 81111900; 81112200; 43232400; 43231500; 43231500; 81111508; 81111509; 46171600; 81111805"/>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x v="627"/>
    <x v="197"/>
    <s v="03 - selec. abrev. subasta inversa"/>
    <x v="1"/>
    <s v="08 - contrato de suministro"/>
    <s v="MAYO"/>
    <n v="8"/>
    <n v="0"/>
    <n v="2500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x v="628"/>
    <x v="478"/>
    <s v="17 - acuerdo marco de precios"/>
    <x v="1"/>
    <s v="01 - orden de compra"/>
    <s v="MARZO"/>
    <n v="3"/>
    <n v="0"/>
    <n v="12111000"/>
    <s v="NO"/>
    <x v="8"/>
    <s v="William Tovar Segura"/>
    <x v="2"/>
    <s v="Subdirector@ de Gestión del Riesgo"/>
    <x v="0"/>
    <s v="60121206,60121000,60121500,6012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x v="629"/>
    <x v="479"/>
    <s v="03 - selec. abrev. subasta inversa"/>
    <x v="1"/>
    <s v="03 - contrato de prestacion de servicios"/>
    <s v="ABRIL"/>
    <n v="1"/>
    <n v="0"/>
    <n v="9942844"/>
    <s v="NO"/>
    <x v="0"/>
    <s v="Paula Ximena Henao Escobar"/>
    <x v="0"/>
    <s v="Subdirector@ de Gestión Corporativa"/>
    <x v="0"/>
    <s v="83121700; 83111600; 43221700; 25173100;  81112000; 32101600 "/>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x v="630"/>
    <x v="480"/>
    <s v="03 - selec. abrev. subasta inversa"/>
    <x v="1"/>
    <s v="08 - contrato de suministro"/>
    <s v="MAYO"/>
    <n v="8"/>
    <n v="0"/>
    <n v="310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x v="631"/>
    <x v="481"/>
    <s v="03 - selec. abrev. subasta inversa"/>
    <x v="1"/>
    <s v="06 - contrato de compraventa"/>
    <s v="JULIO"/>
    <n v="6"/>
    <n v="0"/>
    <n v="0"/>
    <s v="NO"/>
    <x v="6"/>
    <s v="Omer Mauricio Rivera Ruiz"/>
    <x v="2"/>
    <s v="Subdirector@ de Gestión del Riesgo"/>
    <x v="0"/>
    <n v="46191607"/>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x v="632"/>
    <x v="482"/>
    <s v="04 - contratación mínima cuantía"/>
    <x v="1"/>
    <s v="08 - contrato de suministro"/>
    <s v="JULIO"/>
    <n v="6"/>
    <n v="0"/>
    <n v="36000000"/>
    <s v="NO"/>
    <x v="6"/>
    <s v="Omer Mauricio Rivera Ruiz"/>
    <x v="2"/>
    <s v="Subdirector@ de Gestión del Riesgo"/>
    <x v="0"/>
    <n v="50192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x v="633"/>
    <x v="483"/>
    <s v="06 - concurso de méritos abierto"/>
    <x v="1"/>
    <s v="04 - contrato de consultoria"/>
    <s v="MAYO"/>
    <n v="1"/>
    <n v="0"/>
    <n v="5972249"/>
    <s v="NO"/>
    <x v="9"/>
    <s v="Fatima Veronica Quintero Nuñez"/>
    <x v="2"/>
    <s v="Subdirector@ de Gestión del Riesgo"/>
    <x v="0"/>
    <s v="81101500;_x000a_8010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0-Adición No. 1 al contrato 766 de 2024 que tiene como objeto “Elaboración de estudios y diseños técnicos para la construcción de la estación de bomberos de Ferias B-7 de la UAE Cuerpo Oficial de Bomberos de Bogotá – SGC&quot;"/>
  </r>
  <r>
    <x v="634"/>
    <x v="484"/>
    <s v="01 - licitación pública"/>
    <x v="1"/>
    <s v="05 - contrato de obra"/>
    <s v="JULIO"/>
    <n v="15"/>
    <n v="0"/>
    <n v="1628100000"/>
    <s v="SI"/>
    <x v="9"/>
    <s v="Fatima Veronica Quintero Nuñez"/>
    <x v="2"/>
    <s v="Subdirector@ de Gestión del Riesgo"/>
    <x v="3"/>
    <s v="72121400; 72151700; 72151700; 811015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x v="635"/>
    <x v="485"/>
    <s v="06 - concurso de méritos abierto"/>
    <x v="1"/>
    <s v="14 - contrato de interventoria"/>
    <s v="JULIO"/>
    <n v="15"/>
    <n v="0"/>
    <n v="223500000"/>
    <s v="SI"/>
    <x v="9"/>
    <s v="Fatima Veronica Quintero Nuñez"/>
    <x v="2"/>
    <s v="Subdirector@ de Gestión del Riesgo"/>
    <x v="3"/>
    <s v="81101500; 80101600; 72121400; 951217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x v="636"/>
    <x v="486"/>
    <s v="01 - licitación pública"/>
    <x v="1"/>
    <s v="05 - contrato de obra"/>
    <s v="JULIO"/>
    <n v="10"/>
    <n v="0"/>
    <n v="235000000"/>
    <s v="NO"/>
    <x v="9"/>
    <s v="Fatima Veronica Quintero Nuñez"/>
    <x v="2"/>
    <s v="Subdirector@ de Gestión del Riesgo"/>
    <x v="0"/>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x v="637"/>
    <x v="487"/>
    <s v="06 - concurso de méritos abierto"/>
    <x v="1"/>
    <s v="14 - contrato de interventoria"/>
    <s v="JULIO"/>
    <n v="10"/>
    <n v="0"/>
    <n v="17798000"/>
    <s v="NO"/>
    <x v="9"/>
    <s v="Fatima Veronica Quintero Nuñez"/>
    <x v="2"/>
    <s v="Subdirector@ de Gestión del Riesgo"/>
    <x v="0"/>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x v="638"/>
    <x v="486"/>
    <s v="01 - licitación pública"/>
    <x v="1"/>
    <s v="05 - contrato de obra"/>
    <s v="JULIO"/>
    <n v="10"/>
    <n v="0"/>
    <n v="730602000"/>
    <s v="NO"/>
    <x v="9"/>
    <s v="Fatima Veronica Quintero Nuñez"/>
    <x v="2"/>
    <s v="Subdirector@ de Gestión del Riesgo"/>
    <x v="3"/>
    <s v="72121400; 72151700; 72151700; 811015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x v="639"/>
    <x v="487"/>
    <s v="06 - concurso de méritos abierto"/>
    <x v="1"/>
    <s v="14 - contrato de interventoria"/>
    <s v="JULIO"/>
    <n v="10"/>
    <n v="0"/>
    <n v="250000000"/>
    <s v="NO"/>
    <x v="9"/>
    <s v="Fatima Veronica Quintero Nuñez"/>
    <x v="2"/>
    <s v="Subdirector@ de Gestión del Riesgo"/>
    <x v="3"/>
    <s v="81101500; 80101600; 72121400; 951217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x v="640"/>
    <x v="488"/>
    <s v="91 - n/a acto administrativo (resolución, decreto, acuerdo, etc.)"/>
    <x v="1"/>
    <s v="12 - resolucion"/>
    <s v="MAYO"/>
    <n v="0"/>
    <n v="0"/>
    <n v="40032337"/>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x v="641"/>
    <x v="489"/>
    <s v="91 - n/a acto administrativo (resolución, decreto, acuerdo, etc.)"/>
    <x v="1"/>
    <s v="12 - resolucion"/>
    <s v="MAYO"/>
    <n v="0"/>
    <n v="0"/>
    <n v="135000000"/>
    <s v="NO"/>
    <x v="9"/>
    <s v="Fatima Veronica Quintero Nuñez"/>
    <x v="2"/>
    <s v="Subdirector@ de Gestión del Riesgo"/>
    <x v="5"/>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x v="642"/>
    <x v="490"/>
    <s v="91 - n/a acto administrativo (resolución, decreto, acuerdo, etc.)"/>
    <x v="1"/>
    <s v="12 - resolucion"/>
    <s v="MAYO"/>
    <n v="0"/>
    <n v="0"/>
    <n v="10802121"/>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x v="643"/>
    <x v="491"/>
    <s v="91 - n/a acto administrativo (resolución, decreto, acuerdo, etc.)"/>
    <x v="1"/>
    <s v="12 - resolucion"/>
    <s v="OCTUBRE"/>
    <n v="0"/>
    <n v="0"/>
    <n v="24494472"/>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x v="644"/>
    <x v="492"/>
    <s v="02 - selec. abrev. menor cuantía"/>
    <x v="1"/>
    <s v="17 - contrato de mantenimiento"/>
    <s v="ABRIL"/>
    <n v="1"/>
    <n v="0"/>
    <n v="19998433"/>
    <s v="NO"/>
    <x v="9"/>
    <s v="Fatima Veronica Quintero Nuñez"/>
    <x v="0"/>
    <s v="Subdirector@ de Gestión Corporativa"/>
    <x v="0"/>
    <s v="72121400;_x000a_72151700;_x000a_72154109;_x000a_951217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x v="645"/>
    <x v="493"/>
    <s v="04 - contratación mínima cuantía"/>
    <x v="1"/>
    <s v="06 - contrato de compraventa"/>
    <s v="ABRIL"/>
    <n v="1"/>
    <n v="0"/>
    <n v="14994479"/>
    <s v="NO"/>
    <x v="9"/>
    <s v="Fatima Veronica Quintero Nuñez"/>
    <x v="2"/>
    <s v="Subdirector@ de Gestión del Riesgo"/>
    <x v="0"/>
    <s v="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1-Adición y prorroga No. 1 al contrato 713 de 2025 que tiene como objeto “Adquisición de elementos de menaje para la UAECOB-SGC&quot;"/>
  </r>
  <r>
    <x v="646"/>
    <x v="245"/>
    <s v="09 - contratación directa"/>
    <x v="0"/>
    <s v="25 - contrato de prestacion de servicios profesionales"/>
    <s v="JULIO"/>
    <n v="7"/>
    <n v="0"/>
    <n v="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x v="647"/>
    <x v="494"/>
    <s v="04 - contratación mínima cuantía"/>
    <x v="1"/>
    <s v="06 - contrato de compraventa"/>
    <s v="JULIO"/>
    <n v="3"/>
    <n v="0"/>
    <n v="48000000"/>
    <s v="NO"/>
    <x v="7"/>
    <s v="Yenire Yohansy Lozano Ascanio"/>
    <x v="2"/>
    <s v="Subdirector@ de Gestión del Riesgo"/>
    <x v="0"/>
    <n v="10101500"/>
    <x v="11"/>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x v="648"/>
    <x v="495"/>
    <s v="03 - selec. abrev. subasta inversa"/>
    <x v="1"/>
    <s v="08 - contrato de suministro"/>
    <s v="AGOSTO"/>
    <n v="2"/>
    <n v="0"/>
    <n v="12000000"/>
    <s v="NO"/>
    <x v="6"/>
    <s v="Omer Mauricio Rivera Ruiz"/>
    <x v="2"/>
    <s v="Subdirector@ de Gestión del Riesgo"/>
    <x v="0"/>
    <s v="39121321;31162800;39121700; 311623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x v="649"/>
    <x v="496"/>
    <s v="09 - contratación directa"/>
    <x v="1"/>
    <s v="03 - contrato de prestacion de servicios"/>
    <s v="JUNIO"/>
    <n v="4"/>
    <n v="0"/>
    <n v="160000000"/>
    <s v="NO"/>
    <x v="6"/>
    <s v="Omer Mauricio Rivera Ruiz"/>
    <x v="2"/>
    <s v="Subdirector@ de Gestión del Riesgo"/>
    <x v="0"/>
    <n v="72101509"/>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x v="650"/>
    <x v="200"/>
    <s v="03 - selec. abrev. subasta inversa"/>
    <x v="1"/>
    <s v="03 - contrato de prestacion de servicios"/>
    <s v="MAYO"/>
    <n v="8"/>
    <n v="0"/>
    <n v="34981000"/>
    <s v="NO"/>
    <x v="6"/>
    <s v="Omer Mauricio Rivera Ruiz"/>
    <x v="2"/>
    <s v="Subdirector@ de Gestión del Riesgo"/>
    <x v="0"/>
    <s v="46191506;46191601"/>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x v="651"/>
    <x v="497"/>
    <s v="09 - contratación directa"/>
    <x v="1"/>
    <s v="13 - orden de servicio"/>
    <s v="MAYO"/>
    <n v="3"/>
    <n v="0"/>
    <n v="50700000"/>
    <s v="NO"/>
    <x v="0"/>
    <s v="Paula Ximena Henao Escobar"/>
    <x v="0"/>
    <s v="Subdirector@ de Gestión Corporativa"/>
    <x v="0"/>
    <s v="43233000;811122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x v="652"/>
    <x v="498"/>
    <s v="09 - contratación directa"/>
    <x v="0"/>
    <s v="25 - contrato de prestacion de servicios profesionales"/>
    <s v="MAYO"/>
    <n v="2"/>
    <n v="0"/>
    <n v="14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x v="653"/>
    <x v="499"/>
    <s v="17 - acuerdo marco de precios"/>
    <x v="1"/>
    <s v="03 - contrato de prestacion de servicios"/>
    <s v="MAYO"/>
    <n v="12"/>
    <n v="0"/>
    <n v="640816367"/>
    <s v="NO"/>
    <x v="0"/>
    <s v="Paula Ximena Henao Escobar"/>
    <x v="1"/>
    <s v="Subdirector@ de Gestión Corporativa"/>
    <x v="1"/>
    <s v="43231512;81112501"/>
    <x v="4"/>
    <s v="No a"/>
    <s v="li"/>
    <s v="NA"/>
    <s v="NA"/>
    <s v="NA"/>
    <s v="N/A"/>
    <s v="N/A"/>
    <s v="N/A-N/A"/>
    <s v="N/A"/>
    <s v="N/A"/>
    <s v="N/A_N/A"/>
    <s v="N/A-N/A N/A_N/A"/>
    <x v="1"/>
    <x v="1"/>
    <x v="3"/>
    <s v="Si Secop "/>
    <s v="20260703-BS-No a-li-Contratar la adquisición, renovación y  suscripciones de licencia Microsoft y modulos de seguridad y vulnerabilidad para la U.A.E. Cuerpo Oficial de Bomberos de Bogotá - TIC"/>
  </r>
  <r>
    <x v="654"/>
    <x v="500"/>
    <s v="09 - contratación directa"/>
    <x v="1"/>
    <s v="19 - contrato de renovacion de licencias"/>
    <s v="NOVIEMBRE"/>
    <n v="12"/>
    <n v="0"/>
    <n v="64410000"/>
    <s v="NO"/>
    <x v="0"/>
    <s v="Paula Ximena Henao Escobar"/>
    <x v="1"/>
    <s v="Subdirector@ de Gestión Corporativa"/>
    <x v="1"/>
    <n v="81112217"/>
    <x v="4"/>
    <s v="No a"/>
    <s v="li"/>
    <s v="NA"/>
    <s v="NA"/>
    <s v="NA"/>
    <s v="N/A"/>
    <s v="N/A"/>
    <s v="N/A-N/A"/>
    <s v="N/A"/>
    <s v="N/A"/>
    <s v="N/A_N/A"/>
    <s v="N/A-N/A N/A_N/A"/>
    <x v="1"/>
    <x v="1"/>
    <x v="3"/>
    <s v="Si Secop "/>
    <s v="20260704-BS-No a-li-Contratar el servicio de actualización y soporte de licenciamiento ArcGIS para la U.A.E. Cuerpo Oficial de Bomberos de Bogotá.- TIC"/>
  </r>
  <r>
    <x v="655"/>
    <x v="501"/>
    <s v="03 - selec. abrev. subasta inversa"/>
    <x v="1"/>
    <s v="08 - contrato de suministro"/>
    <s v="JULIO"/>
    <n v="12"/>
    <n v="0"/>
    <n v="205000000"/>
    <s v="NO"/>
    <x v="0"/>
    <s v="Paula Ximena Henao Escobar"/>
    <x v="1"/>
    <s v="Subdirector@ de Gestión Corporativa"/>
    <x v="1"/>
    <n v="44103100"/>
    <x v="4"/>
    <s v="No a"/>
    <s v="li"/>
    <s v="NA"/>
    <s v="NA"/>
    <s v="NA"/>
    <s v="N/A"/>
    <s v="N/A"/>
    <s v="N/A-N/A"/>
    <s v="N/A"/>
    <s v="N/A"/>
    <s v="N/A_N/A"/>
    <s v="N/A-N/A N/A_N/A"/>
    <x v="1"/>
    <x v="1"/>
    <x v="3"/>
    <s v="Si Secop "/>
    <s v="20260705-BS-No a-li-Suministro de consumibles de impresión para el adecuado funcionamiento de las impresoras destinadas a cada una de las sedes de la UAE Cuerpo Oficial de Bomberos de Bogotá."/>
  </r>
  <r>
    <x v="656"/>
    <x v="502"/>
    <s v="03 - selec. abrev. subasta inversa"/>
    <x v="1"/>
    <s v="06 - contrato de compraventa"/>
    <s v="OCTUBRE"/>
    <n v="12"/>
    <n v="0"/>
    <n v="70000000"/>
    <s v="NO"/>
    <x v="0"/>
    <s v="Paula Ximena Henao Escobar"/>
    <x v="1"/>
    <s v="Subdirector@ de Gestión Corporativa"/>
    <x v="1"/>
    <n v="43222635"/>
    <x v="4"/>
    <s v="No a"/>
    <s v="li"/>
    <s v="NA"/>
    <s v="NA"/>
    <s v="NA"/>
    <s v="N/A"/>
    <s v="N/A"/>
    <s v="N/A-N/A"/>
    <s v="N/A"/>
    <s v="N/A"/>
    <s v="N/A_N/A"/>
    <s v="N/A-N/A N/A_N/A"/>
    <x v="1"/>
    <x v="1"/>
    <x v="3"/>
    <s v="Si Secop "/>
    <s v="20260706-BS-No a-li-Contratar la renovación de garantía y soporte de fabrica de los equipos activos que hacen parte de la infraestructura tecnológica de la U.A.E. Cuerpo Oficial de Bomberos de Bogotá."/>
  </r>
  <r>
    <x v="657"/>
    <x v="503"/>
    <s v="09 - contratación directa"/>
    <x v="1"/>
    <s v="19 - contrato de renovacion de licencias"/>
    <s v="OCTUBRE"/>
    <n v="12"/>
    <n v="0"/>
    <n v="19462500"/>
    <s v="NO"/>
    <x v="0"/>
    <s v="Paula Ximena Henao Escobar"/>
    <x v="1"/>
    <s v="Subdirector@ de Gestión Corporativa"/>
    <x v="1"/>
    <s v="81112501; 43232102; 43231512; 81111808; 81111805; 81112217"/>
    <x v="4"/>
    <s v="No a"/>
    <s v="li"/>
    <s v="NA"/>
    <s v="NA"/>
    <s v="NA"/>
    <s v="N/A"/>
    <s v="N/A"/>
    <s v="N/A-N/A"/>
    <s v="N/A"/>
    <s v="N/A"/>
    <s v="N/A_N/A"/>
    <s v="N/A-N/A N/A_N/A"/>
    <x v="1"/>
    <x v="1"/>
    <x v="3"/>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x v="658"/>
    <x v="477"/>
    <s v="09 - contratación directa"/>
    <x v="1"/>
    <s v="09 - convenio interadministrativo"/>
    <s v="JULIO"/>
    <n v="12"/>
    <n v="0"/>
    <n v="345297598"/>
    <s v="NO"/>
    <x v="0"/>
    <s v="Paula Ximena Henao Escobar"/>
    <x v="1"/>
    <s v="Subdirector@ de Gestión Corporativa"/>
    <x v="1"/>
    <s v="81111500; 81111900; 81112200; 43232400; 43231500; 43231500; 81111508; 81111509; 46171600; 81111805"/>
    <x v="4"/>
    <s v="No a"/>
    <s v="li"/>
    <s v="NA"/>
    <s v="NA"/>
    <s v="NA"/>
    <s v="N/A"/>
    <s v="N/A"/>
    <s v="N/A-N/A"/>
    <s v="N/A"/>
    <s v="N/A"/>
    <s v="N/A_N/A"/>
    <s v="N/A-N/A N/A_N/A"/>
    <x v="1"/>
    <x v="1"/>
    <x v="3"/>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x v="659"/>
    <x v="504"/>
    <s v="09 - contratación directa"/>
    <x v="0"/>
    <s v="26 - contrato de prestacion de servicios de apoyo a la gestion"/>
    <s v="JULIO"/>
    <n v="5"/>
    <n v="0"/>
    <n v="1642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x v="660"/>
    <x v="505"/>
    <s v="09 - contratación directa"/>
    <x v="0"/>
    <s v="25 - contrato de prestacion de servicios profesionales"/>
    <s v="AGOSTO"/>
    <n v="4"/>
    <n v="15"/>
    <n v="36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x v="661"/>
    <x v="506"/>
    <s v="09 - contratación directa"/>
    <x v="0"/>
    <s v="26 - contrato de prestacion de servicios de apoyo a la gestion"/>
    <s v="AGOSTO"/>
    <n v="4"/>
    <n v="15"/>
    <n v="139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x v="662"/>
    <x v="442"/>
    <s v="09 - contratación directa"/>
    <x v="0"/>
    <s v="26 - contrato de prestacion de servicios de apoyo a la gestion"/>
    <s v="AGOSTO"/>
    <n v="4"/>
    <n v="0"/>
    <n v="1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x v="663"/>
    <x v="507"/>
    <s v="09 - contratación directa"/>
    <x v="0"/>
    <s v="26 - contrato de prestacion de servicios de apoyo a la gestion"/>
    <s v="AGOSTO"/>
    <n v="4"/>
    <n v="0"/>
    <n v="12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x v="664"/>
    <x v="508"/>
    <s v="09 - contratación directa"/>
    <x v="0"/>
    <s v="26 - contrato de prestacion de servicios de apoyo a la gestion"/>
    <s v="SEPTIEMBRE"/>
    <n v="4"/>
    <n v="0"/>
    <n v="14744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x v="665"/>
    <x v="509"/>
    <s v="09 - contratación directa"/>
    <x v="0"/>
    <s v="25 - contrato de prestacion de servicios profesionales"/>
    <s v="SEPTIEMBRE"/>
    <n v="3"/>
    <n v="0"/>
    <n v="21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x v="666"/>
    <x v="510"/>
    <s v="09 - contratación directa"/>
    <x v="0"/>
    <s v="25 - contrato de prestacion de servicios profesionales"/>
    <s v="AGOSTO"/>
    <n v="4"/>
    <n v="0"/>
    <n v="20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x v="667"/>
    <x v="511"/>
    <s v="09 - contratación directa"/>
    <x v="0"/>
    <s v="25 - contrato de prestacion de servicios profesionales"/>
    <s v="AGOSTO"/>
    <n v="4"/>
    <n v="0"/>
    <n v="32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x v="668"/>
    <x v="512"/>
    <s v="09 - contratación directa"/>
    <x v="0"/>
    <s v="25 - contrato de prestacion de servicios profesionales"/>
    <s v="AGOSTO"/>
    <n v="4"/>
    <n v="0"/>
    <n v="18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x v="669"/>
    <x v="513"/>
    <s v="09 - contratación directa"/>
    <x v="0"/>
    <s v="25 - contrato de prestacion de servicios profesionales"/>
    <s v="AGOSTO"/>
    <n v="4"/>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x v="670"/>
    <x v="514"/>
    <s v="09 - contratación directa"/>
    <x v="0"/>
    <s v="25 - contrato de prestacion de servicios profesionales"/>
    <s v="AGOSTO"/>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x v="671"/>
    <x v="515"/>
    <s v="09 - contratación directa"/>
    <x v="0"/>
    <s v="25 - contrato de prestacion de servicios profesionales"/>
    <s v="AGOSTO"/>
    <n v="4"/>
    <n v="0"/>
    <n v="224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x v="672"/>
    <x v="516"/>
    <s v="09 - contratación directa"/>
    <x v="0"/>
    <s v="25 - contrato de prestacion de servicios profesionales"/>
    <s v="AGOSTO"/>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x v="673"/>
    <x v="517"/>
    <s v="09 - contratación directa"/>
    <x v="0"/>
    <s v="25 - contrato de prestacion de servicios profesionales"/>
    <s v="AGOSTO"/>
    <n v="4"/>
    <n v="0"/>
    <n v="28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x v="674"/>
    <x v="518"/>
    <s v="09 - contratación directa"/>
    <x v="0"/>
    <s v="25 - contrato de prestacion de servicios profesionales"/>
    <s v="AGOSTO"/>
    <n v="4"/>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x v="675"/>
    <x v="519"/>
    <s v="09 - contratación directa"/>
    <x v="0"/>
    <s v="25 - contrato de prestacion de servicios profesionales"/>
    <s v="SEPTIEMBRE"/>
    <n v="3"/>
    <n v="0"/>
    <n v="216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x v="676"/>
    <x v="520"/>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x v="677"/>
    <x v="521"/>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x v="678"/>
    <x v="522"/>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x v="679"/>
    <x v="523"/>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x v="680"/>
    <x v="524"/>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x v="681"/>
    <x v="525"/>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x v="682"/>
    <x v="526"/>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x v="683"/>
    <x v="527"/>
    <s v="09 - contratación directa"/>
    <x v="0"/>
    <s v="26 - contrato de prestacion de servicios de apoyo a la gestion"/>
    <s v="SEPTIEMBRE"/>
    <n v="3"/>
    <n v="0"/>
    <n v="9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x v="684"/>
    <x v="528"/>
    <s v="09 - contratación directa"/>
    <x v="0"/>
    <s v="25 - contrato de prestacion de servicios profesionales"/>
    <s v="SEPTIEMBRE"/>
    <n v="3"/>
    <n v="15"/>
    <n v="2834333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x v="685"/>
    <x v="529"/>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x v="686"/>
    <x v="530"/>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x v="687"/>
    <x v="531"/>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x v="688"/>
    <x v="532"/>
    <s v="09 - contratación directa"/>
    <x v="0"/>
    <s v="26 - contrato de prestacion de servicios de apoyo a la gestion"/>
    <s v="SEPTIEMBRE"/>
    <n v="3"/>
    <n v="0"/>
    <n v="111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x v="689"/>
    <x v="533"/>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x v="690"/>
    <x v="534"/>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x v="691"/>
    <x v="535"/>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x v="692"/>
    <x v="536"/>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x v="693"/>
    <x v="537"/>
    <s v="09 - contratación directa"/>
    <x v="0"/>
    <s v="26 - contrato de prestacion de servicios de apoyo a la gestion"/>
    <s v="SEPTIEMBRE"/>
    <n v="3"/>
    <n v="0"/>
    <n v="11059473"/>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x v="694"/>
    <x v="538"/>
    <s v="09 - contratación directa"/>
    <x v="0"/>
    <s v="26 - contrato de prestacion de servicios de apoyo a la gestion"/>
    <s v="SEPTIEMBRE"/>
    <n v="3"/>
    <n v="0"/>
    <n v="9852984"/>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x v="695"/>
    <x v="539"/>
    <s v="09 - contratación directa"/>
    <x v="0"/>
    <s v="26 - contrato de prestacion de servicios de apoyo a la gestion"/>
    <s v="SEPTIEMBRE"/>
    <n v="3"/>
    <n v="0"/>
    <n v="897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x v="696"/>
    <x v="540"/>
    <s v="09 - contratación directa"/>
    <x v="0"/>
    <s v="26 - contrato de prestacion de servicios de apoyo a la gestion"/>
    <s v="OCTUBRE"/>
    <n v="2"/>
    <n v="0"/>
    <n v="598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x v="697"/>
    <x v="541"/>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x v="698"/>
    <x v="542"/>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x v="699"/>
    <x v="543"/>
    <s v="09 - contratación directa"/>
    <x v="0"/>
    <s v="26 - contrato de prestacion de servicios de apoyo a la gestion"/>
    <s v="OCTUBRE"/>
    <n v="1"/>
    <n v="0"/>
    <n v="31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x v="700"/>
    <x v="544"/>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x v="701"/>
    <x v="545"/>
    <s v="09 - contratación directa"/>
    <x v="0"/>
    <s v="26 - contrato de prestacion de servicios de apoyo a la gestion"/>
    <s v="OCTUBRE"/>
    <n v="2"/>
    <n v="0"/>
    <n v="62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x v="702"/>
    <x v="546"/>
    <s v="03 - selec. abrev. subasta inversa"/>
    <x v="1"/>
    <s v="08 - contrato de suministro"/>
    <s v="MAYO"/>
    <n v="12"/>
    <n v="0"/>
    <n v="150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x v="703"/>
    <x v="547"/>
    <s v="04 - contratación mínima cuantía"/>
    <x v="1"/>
    <s v="03 - contrato de prestacion de servicios"/>
    <s v="MAYO"/>
    <n v="12"/>
    <n v="0"/>
    <n v="1569006"/>
    <s v="NO"/>
    <x v="6"/>
    <s v="Omer Mauricio Rivera Ruiz"/>
    <x v="1"/>
    <s v="Subdirector@ de Gestión Corporativa"/>
    <x v="1"/>
    <n v="78181505"/>
    <x v="4"/>
    <s v="No a"/>
    <s v="li"/>
    <s v="NA"/>
    <s v="NA"/>
    <s v="NA"/>
    <s v="N/A"/>
    <s v="N/A"/>
    <s v="N/A-N/A"/>
    <s v="N/A"/>
    <s v="N/A"/>
    <s v="N/A_N/A"/>
    <s v="N/A-N/A N/A_N/A"/>
    <x v="1"/>
    <x v="1"/>
    <x v="6"/>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x v="704"/>
    <x v="548"/>
    <s v="09 - contratación directa"/>
    <x v="0"/>
    <s v="25 - contrato de prestacion de servicios profesionales"/>
    <s v="MAYO"/>
    <n v="3"/>
    <n v="0"/>
    <n v="1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0-Adición y prórroga al Contrato 678 de 2025 con objeto &quot;Prestación de servicios profesionales a la gestión en la Dirección para el acompañamiento en las labores administrativas en asuntos de comunicaciones y prensa de la UAECOB&quot;"/>
  </r>
  <r>
    <x v="705"/>
    <x v="549"/>
    <s v="02 - selec. abrev. menor cuantía"/>
    <x v="1"/>
    <s v="03 - contrato de prestacion de servicios"/>
    <s v="MAYO"/>
    <n v="4"/>
    <n v="0"/>
    <n v="150000000"/>
    <s v="NO"/>
    <x v="5"/>
    <s v="Jose Andres Ponce Caicedo"/>
    <x v="1"/>
    <s v="Subdirector@ de Gestión Corporativa"/>
    <x v="1"/>
    <s v="85121503;85121603;85121604;85121608;85121610;85121611;85121612;85121702;85122201"/>
    <x v="4"/>
    <s v="No a"/>
    <s v="li"/>
    <s v="NA"/>
    <s v="NA"/>
    <s v="NA"/>
    <s v="N/A"/>
    <s v="N/A"/>
    <s v="N/A-N/A"/>
    <s v="N/A"/>
    <s v="N/A"/>
    <s v="N/A_N/A"/>
    <s v="N/A-N/A N/A_N/A"/>
    <x v="1"/>
    <x v="1"/>
    <x v="6"/>
    <s v="No Secop"/>
    <s v="20260758-BS-No a-li-Adición y Prórroga CONTRATO DE PRESTACION DE SERVICIOS 560 DE 2025 cuyo objeto es &quot;SGH -Contratar la realización de los exámenes Médicos Ocupacionales para el personal de la UAE Cuerpo Oficial de Bomberos de Bogotá&quot;"/>
  </r>
  <r>
    <x v="706"/>
    <x v="550"/>
    <s v="02 - selec. abrev. menor cuantía"/>
    <x v="1"/>
    <s v="03 - contrato de prestacion de servicios"/>
    <s v="OCTUBRE"/>
    <n v="4"/>
    <n v="0"/>
    <n v="78684335"/>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x v="707"/>
    <x v="551"/>
    <s v="09 - contratación directa"/>
    <x v="0"/>
    <s v="25 - contrato de prestacion de servicios profesionales"/>
    <s v="ENERO"/>
    <n v="2"/>
    <n v="0"/>
    <n v="1032217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x v="708"/>
    <x v="465"/>
    <s v="17 - acuerdo marco de precios"/>
    <x v="1"/>
    <s v="03 - contrato de prestacion de servicios"/>
    <s v="MAYO"/>
    <n v="2"/>
    <n v="0"/>
    <n v="32733508"/>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761-BS-No a-li-Adición y prórroga No. 1 al contrato 466 de 2026 que tiene como objeto &quot; Contratar la prestación del servicio de aseo y cafetería incluido insumos para la Unidad Administrativa Especial Cuerpo Oficial de Bomberos Bogotá -SGC"/>
  </r>
  <r>
    <x v="709"/>
    <x v="552"/>
    <s v="03 - selec. abrev. subasta inversa"/>
    <x v="1"/>
    <s v="06 - contrato de compraventa"/>
    <s v="JUNIO"/>
    <n v="1"/>
    <n v="0"/>
    <n v="11474832"/>
    <s v="NO"/>
    <x v="9"/>
    <s v="Fatima Veronica Quintero Nuñez"/>
    <x v="2"/>
    <s v="Subdirector@ de Gestión del Riesgo"/>
    <x v="0"/>
    <s v="72154000;_x000a_55121900;_x000a_60121400;_x000a_52101500;_x000a_5512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1-Adición No. 1  prórroga No. 3 al contrato 703 de 2025 con objeto&quot; Adquisición de elementos para el fortalecimiento de la imagen institucional y la identidad visual de la UAECOB-SGC."/>
  </r>
  <r>
    <x v="710"/>
    <x v="553"/>
    <s v="03 - selec. abrev. subasta inversa"/>
    <x v="1"/>
    <s v="06 - contrato de compraventa"/>
    <s v="MAYO"/>
    <n v="1"/>
    <n v="0"/>
    <n v="47790000"/>
    <s v="NO"/>
    <x v="9"/>
    <s v="Fatima Veronica Quintero Nuñez"/>
    <x v="2"/>
    <s v="Subdirector@ de Gestión del Riesgo"/>
    <x v="0"/>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1-Adición No. 1 prórroga No. 3 al contrato 721 de 2025 con objeto &quot;Adquisición de mobiliario y elementos para la dotación de las instalaciones de la UAE Cuerpo Oficial de Bomberos Bogotá- SGC."/>
  </r>
  <r>
    <x v="711"/>
    <x v="554"/>
    <s v="91 - n/a acto administrativo (resolución, decreto, acuerdo, etc.)"/>
    <x v="1"/>
    <s v="12 - resolucion"/>
    <s v="MAYO"/>
    <n v="0"/>
    <n v="0"/>
    <n v="11378345"/>
    <s v="NO"/>
    <x v="9"/>
    <s v="Fatima Veronica Quintero Nuñez"/>
    <x v="2"/>
    <s v="Subdirector@ de Gestión del Riesgo"/>
    <x v="5"/>
    <s v="N/A"/>
    <x v="17"/>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x v="712"/>
    <x v="555"/>
    <s v="17 - acuerdo marco de precios"/>
    <x v="1"/>
    <s v="01 - orden de compra"/>
    <s v="JULIO"/>
    <n v="3"/>
    <n v="0"/>
    <n v="20000000"/>
    <s v="NO"/>
    <x v="8"/>
    <s v="William Tovar Segura"/>
    <x v="2"/>
    <s v="Subdirector@ de Gestión del Riesgo"/>
    <x v="0"/>
    <s v="27112001, 27112074,27112000,27112027,46181500,46181701"/>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x v="713"/>
    <x v="556"/>
    <s v="09 - contratación directa"/>
    <x v="1"/>
    <s v="13 - orden de servicio"/>
    <s v="AGOSTO"/>
    <n v="12"/>
    <n v="0"/>
    <n v="60013535"/>
    <s v="NO"/>
    <x v="0"/>
    <s v="Paula Ximena Henao Escobar"/>
    <x v="1"/>
    <s v="Subdirector@ de Gestión Corporativa"/>
    <x v="1"/>
    <s v="43233000;81112200"/>
    <x v="4"/>
    <s v="No a"/>
    <s v="li"/>
    <s v="NA"/>
    <s v="NA"/>
    <s v="NA"/>
    <s v="N/A"/>
    <s v="N/A"/>
    <s v="N/A-N/A"/>
    <s v="N/A"/>
    <s v="N/A"/>
    <s v="N/A_N/A"/>
    <s v="N/A-N/A N/A_N/A"/>
    <x v="1"/>
    <x v="1"/>
    <x v="3"/>
    <s v="Si Secop "/>
    <s v="20260766-BS-No a-li-Contratar el servicio de soporte y mantenimiento del sistema de gestión documental  para la U.A.E. Cuerpo Oficial de Bomberos de Bogotá- TIC"/>
  </r>
  <r>
    <x v="714"/>
    <x v="557"/>
    <s v="09 - contratación directa"/>
    <x v="0"/>
    <s v="25 - contrato de prestacion de servicios profesionales"/>
    <s v="JULIO"/>
    <n v="5"/>
    <n v="9"/>
    <n v="2915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x v="715"/>
    <x v="558"/>
    <s v="09 - contratación directa"/>
    <x v="0"/>
    <s v="25 - contrato de prestacion de servicios profesionales"/>
    <s v="JULIO"/>
    <n v="6"/>
    <n v="22"/>
    <n v="5446666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x v="716"/>
    <x v="559"/>
    <s v="09 - contratación directa"/>
    <x v="0"/>
    <s v="25 - contrato de prestacion de servicios profesionales"/>
    <s v="AGOSTO"/>
    <n v="3"/>
    <n v="0"/>
    <n v="21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717"/>
    <x v="560"/>
    <s v="09 - contratación directa"/>
    <x v="0"/>
    <s v="26 - contrato de prestacion de servicios de apoyo a la gestion"/>
    <s v="JULIO"/>
    <n v="5"/>
    <n v="15"/>
    <n v="24695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x v="718"/>
    <x v="561"/>
    <s v="09 - contratación directa"/>
    <x v="0"/>
    <s v="25 - contrato de prestacion de servicios profesionales"/>
    <s v="AGOSTO"/>
    <n v="3"/>
    <n v="0"/>
    <n v="15000000"/>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x v="719"/>
    <x v="562"/>
    <s v="09 - contratación directa"/>
    <x v="0"/>
    <s v="26 - contrato de prestacion de servicios de apoyo a la gestion"/>
    <s v="AGOSTO"/>
    <n v="4"/>
    <n v="21"/>
    <n v="13472448"/>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de apoyo a la gestión para apoyar el seguimiento, fortalecimiento y mejora funcional de las herramientas misionales que sirven de soporte a los procesos y procedimientos de la U.A.E. Cuerpo Oficial de Bomberos de Bogotá."/>
  </r>
  <r>
    <x v="720"/>
    <x v="563"/>
    <s v="09 - contratación directa"/>
    <x v="0"/>
    <s v="26 - contrato de prestacion de servicios de apoyo a la gestion"/>
    <s v="AGOSTO"/>
    <n v="4"/>
    <n v="22"/>
    <n v="1893333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x v="721"/>
    <x v="564"/>
    <s v="09 - contratación directa"/>
    <x v="0"/>
    <s v="25 - contrato de prestacion de servicios profesionales"/>
    <s v="DICIEMBRE"/>
    <n v="0"/>
    <n v="25"/>
    <n v="4583333"/>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x v="722"/>
    <x v="565"/>
    <s v="09 - contratación directa"/>
    <x v="0"/>
    <s v="25 - contrato de prestacion de servicios profesionales"/>
    <s v="DICIEMBRE"/>
    <n v="0"/>
    <n v="22"/>
    <n v="572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x v="723"/>
    <x v="566"/>
    <s v="09 - contratación directa"/>
    <x v="0"/>
    <s v="25 - contrato de prestacion de servicios profesionales"/>
    <s v="NOVIEMBRE"/>
    <n v="1"/>
    <n v="5"/>
    <n v="6021167"/>
    <s v="NO"/>
    <x v="0"/>
    <s v="Paula Ximena Henao Escobar"/>
    <x v="0"/>
    <s v="Subdirector@ de Gestión Corporativa"/>
    <x v="0"/>
    <n v="80111600"/>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x v="724"/>
    <x v="567"/>
    <s v="09 - contratación directa"/>
    <x v="0"/>
    <s v="25 - contrato de prestacion de servicios profesionales"/>
    <s v="JULIO"/>
    <n v="5"/>
    <n v="4"/>
    <n v="30800000"/>
    <s v="NO"/>
    <x v="0"/>
    <s v="Paula Ximena Henao Escobar"/>
    <x v="0"/>
    <s v="Subdirector@ de Gestión Corporativa"/>
    <x v="0"/>
    <n v="80111600"/>
    <x v="2"/>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x v="725"/>
    <x v="568"/>
    <s v="09 - contratación directa"/>
    <x v="0"/>
    <s v="25 - contrato de prestacion de servicios profesionales"/>
    <s v="SEPTIEMBRE"/>
    <n v="3"/>
    <n v="18"/>
    <n v="24624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x v="726"/>
    <x v="569"/>
    <s v="09 - contratación directa"/>
    <x v="0"/>
    <s v="25 - contrato de prestacion de servicios profesionales"/>
    <s v="OCTUBRE "/>
    <n v="4"/>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x v="727"/>
    <x v="570"/>
    <s v="09 - contratación directa"/>
    <x v="0"/>
    <s v="25 - contrato de prestacion de servicios profesionales"/>
    <s v="SEPTIEMBRE"/>
    <n v="3"/>
    <n v="0"/>
    <n v="1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x v="728"/>
    <x v="263"/>
    <s v="09 - contratación directa"/>
    <x v="0"/>
    <s v="25 - contrato de prestacion de servicios profesionales"/>
    <s v="SEPTIEMBRE"/>
    <n v="4"/>
    <n v="0"/>
    <n v="2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x v="729"/>
    <x v="571"/>
    <s v="09 - contratación directa"/>
    <x v="0"/>
    <s v="25 - contrato de prestacion de servicios profesionales"/>
    <s v="OCTUBRE "/>
    <n v="2"/>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x v="730"/>
    <x v="572"/>
    <s v="09 - contratación directa"/>
    <x v="0"/>
    <s v="25 - contrato de prestacion de servicios profesionales"/>
    <s v="DICIEMBRE"/>
    <n v="2"/>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x v="731"/>
    <x v="573"/>
    <s v="09 - contratación directa"/>
    <x v="0"/>
    <s v="25 - contrato de prestacion de servicios profesionales"/>
    <s v="OCTUBRE "/>
    <n v="3"/>
    <n v="0"/>
    <n v="273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x v="732"/>
    <x v="574"/>
    <s v="09 - contratación directa"/>
    <x v="0"/>
    <s v="25 - contrato de prestacion de servicios profesionales"/>
    <s v="OCTUBRE "/>
    <n v="2"/>
    <n v="0"/>
    <n v="1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x v="733"/>
    <x v="575"/>
    <s v="09 - contratación directa"/>
    <x v="0"/>
    <s v="25 - contrato de prestacion de servicios profesionales"/>
    <s v="OCTUBRE "/>
    <n v="2"/>
    <n v="0"/>
    <n v="10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x v="734"/>
    <x v="576"/>
    <s v="09 - contratación directa"/>
    <x v="0"/>
    <s v="25 - contrato de prestacion de servicios profesionales"/>
    <s v="SEPTIEMBRE"/>
    <n v="3"/>
    <n v="0"/>
    <n v="1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x v="735"/>
    <x v="577"/>
    <s v="09 - contratación directa"/>
    <x v="0"/>
    <s v="25 - contrato de prestacion de servicios profesionales"/>
    <s v="SEPTIEMBRE"/>
    <n v="2"/>
    <n v="15"/>
    <n v="15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x v="736"/>
    <x v="578"/>
    <s v="09 - contratación directa"/>
    <x v="0"/>
    <s v="25 - contrato de prestacion de servicios profesionales"/>
    <s v="SEPTIEMBRE"/>
    <n v="2"/>
    <n v="15"/>
    <n v="15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x v="737"/>
    <x v="579"/>
    <s v="09 - contratación directa"/>
    <x v="0"/>
    <s v="25 - contrato de prestacion de servicios profesionales"/>
    <s v="NOVIEMBRE"/>
    <n v="1"/>
    <n v="0"/>
    <n v="7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x v="738"/>
    <x v="580"/>
    <s v="09 - contratación directa"/>
    <x v="0"/>
    <s v="25 - contrato de prestacion de servicios profesionales"/>
    <s v="NOVIEMBRE"/>
    <n v="1"/>
    <n v="0"/>
    <n v="7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x v="739"/>
    <x v="581"/>
    <s v="09 - contratación directa"/>
    <x v="0"/>
    <s v="26 - contrato de prestacion de servicios de apoyo a la gestion"/>
    <s v="NOVIEMBRE"/>
    <n v="1"/>
    <n v="0"/>
    <n v="45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x v="740"/>
    <x v="582"/>
    <s v="09 - contratación directa"/>
    <x v="0"/>
    <s v="26 - contrato de prestacion de servicios de apoyo a la gestion"/>
    <s v="NOVIEMBRE"/>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x v="741"/>
    <x v="583"/>
    <s v="09 - contratación directa"/>
    <x v="0"/>
    <s v="26 - contrato de prestacion de servicios de apoyo a la gestion"/>
    <s v="SEPTIEMBRE"/>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x v="742"/>
    <x v="584"/>
    <s v="09 - contratación directa"/>
    <x v="0"/>
    <s v="26 - contrato de prestacion de servicios de apoyo a la gestion"/>
    <s v="NOVIEM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x v="743"/>
    <x v="585"/>
    <s v="09 - contratación directa"/>
    <x v="0"/>
    <s v="26 - contrato de prestacion de servicios de apoyo a la gestion"/>
    <s v="OCTUBRE "/>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x v="744"/>
    <x v="586"/>
    <s v="09 - contratación directa"/>
    <x v="0"/>
    <s v="26 - contrato de prestacion de servicios de apoyo a la gestion"/>
    <s v="OCTUBRE "/>
    <n v="2"/>
    <n v="0"/>
    <n v="8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x v="745"/>
    <x v="587"/>
    <s v="09 - contratación directa"/>
    <x v="0"/>
    <s v="26 - contrato de prestacion de servicios de apoyo a la gestion"/>
    <s v="OCTUBRE "/>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x v="746"/>
    <x v="588"/>
    <s v="09 - contratación directa"/>
    <x v="0"/>
    <s v="26 - contrato de prestacion de servicios de apoyo a la gestion"/>
    <s v="OCTUBRE "/>
    <n v="3"/>
    <n v="0"/>
    <n v="12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x v="747"/>
    <x v="589"/>
    <s v="09 - contratación directa"/>
    <x v="0"/>
    <s v="25 - contrato de prestacion de servicios profesionales"/>
    <s v="SEPTIEMBRE"/>
    <n v="3"/>
    <n v="0"/>
    <n v="21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x v="748"/>
    <x v="590"/>
    <s v="09 - contratación directa"/>
    <x v="0"/>
    <s v="25 - contrato de prestacion de servicios profesionales"/>
    <s v="OCTUBRE "/>
    <n v="3"/>
    <n v="0"/>
    <n v="11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x v="749"/>
    <x v="591"/>
    <s v="09 - contratación directa"/>
    <x v="0"/>
    <s v="25 - contrato de prestacion de servicios profesionales"/>
    <s v="OCTUBRE "/>
    <n v="4"/>
    <n v="0"/>
    <n v="2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x v="750"/>
    <x v="592"/>
    <s v="09 - contratación directa"/>
    <x v="0"/>
    <s v="25 - contrato de prestacion de servicios profesionales"/>
    <s v="OCTUBRE "/>
    <n v="3"/>
    <n v="0"/>
    <n v="1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x v="751"/>
    <x v="593"/>
    <s v="09 - contratación directa"/>
    <x v="0"/>
    <s v="25 - contrato de prestacion de servicios profesionales"/>
    <s v="AGOSTO"/>
    <n v="6"/>
    <n v="0"/>
    <n v="30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x v="752"/>
    <x v="283"/>
    <s v="09 - contratación directa"/>
    <x v="0"/>
    <s v="25 - contrato de prestacion de servicios profesionales"/>
    <s v="SEPTIEMBRE"/>
    <n v="5"/>
    <n v="0"/>
    <n v="27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x v="753"/>
    <x v="594"/>
    <s v="09 - contratación directa"/>
    <x v="0"/>
    <s v="25 - contrato de prestacion de servicios profesionales"/>
    <s v="SEPTIEMBRE"/>
    <n v="4"/>
    <n v="0"/>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x v="754"/>
    <x v="595"/>
    <s v="09 - contratación directa"/>
    <x v="0"/>
    <s v="25 - contrato de prestacion de servicios profesionales"/>
    <s v="SEPTIEMBRE"/>
    <n v="2"/>
    <n v="0"/>
    <n v="11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x v="755"/>
    <x v="596"/>
    <s v="02 - selec. abrev. menor cuantía"/>
    <x v="1"/>
    <s v="03 - contrato de prestacion de servicios"/>
    <s v="JUNIO"/>
    <n v="1"/>
    <n v="0"/>
    <n v="80000000"/>
    <s v="NO"/>
    <x v="9"/>
    <s v="Fatima Veronica Quintero Nuñez"/>
    <x v="2"/>
    <s v="Subdirector@ de Gestión del Riesgo"/>
    <x v="0"/>
    <s v="72151800;_x000a_72151500;_x000a_731521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x v="756"/>
    <x v="465"/>
    <s v="17 - acuerdo marco de precios"/>
    <x v="1"/>
    <s v="03 - contrato de prestacion de servicios"/>
    <s v="MAYO"/>
    <n v="2"/>
    <n v="0"/>
    <n v="52960812"/>
    <s v="NO"/>
    <x v="9"/>
    <s v="Fatima Veronica Quintero Nuñez"/>
    <x v="1"/>
    <s v="Subdirector@ de Gestión Corporativa"/>
    <x v="1"/>
    <s v="44121700;_x000a_44121800;_x000a_44121900;_x000a_44122000;"/>
    <x v="4"/>
    <s v="No a"/>
    <s v="li"/>
    <s v="NA"/>
    <s v="NA"/>
    <s v="NA"/>
    <s v="N/A"/>
    <s v="N/A"/>
    <s v="N/A-N/A"/>
    <s v="N/A"/>
    <s v="N/A"/>
    <s v="N/A_N/A"/>
    <s v="N/A-N/A N/A_N/A"/>
    <x v="1"/>
    <x v="1"/>
    <x v="6"/>
    <s v="No Secop"/>
    <s v="20260819-BS-No a-li-Adición y prórroga No. 1 al contrato 466 de 2026 que tiene como objeto &quot; Contratar la prestación del servicio de aseo y cafetería incluido insumos para la Unidad Administrativa Especial Cuerpo Oficial de Bomberos Bogotá -SGC"/>
  </r>
  <r>
    <x v="757"/>
    <x v="491"/>
    <s v="91 - n/a acto administrativo (resolución, decreto, acuerdo, etc.)"/>
    <x v="1"/>
    <s v="12 - resolucion"/>
    <s v="OCTUBRE"/>
    <n v="0"/>
    <n v="0"/>
    <n v="129627918"/>
    <s v="NO"/>
    <x v="9"/>
    <s v="Fatima Veronica Quintero Nuñez"/>
    <x v="2"/>
    <s v="Subdirector@ de Gestión del Riesgo"/>
    <x v="5"/>
    <s v="N/A"/>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x v="758"/>
    <x v="597"/>
    <s v="09 - contratación directa"/>
    <x v="0"/>
    <s v="25 - contrato de prestacion de servicios profesionales"/>
    <s v="AGOSTO"/>
    <n v="5"/>
    <n v="0"/>
    <n v="325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x v="759"/>
    <x v="598"/>
    <s v="09 - contratación directa"/>
    <x v="0"/>
    <s v="25 - contrato de prestacion de servicios profesionales"/>
    <s v="DICIEMBRE"/>
    <n v="1"/>
    <n v="0"/>
    <n v="10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x v="760"/>
    <x v="599"/>
    <s v="09 - contratación directa"/>
    <x v="0"/>
    <s v="25 - contrato de prestacion de servicios profesionales"/>
    <s v="SEPTIEMBRE"/>
    <n v="3"/>
    <n v="0"/>
    <n v="126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x v="761"/>
    <x v="600"/>
    <s v="09 - contratación directa"/>
    <x v="0"/>
    <s v="25 - contrato de prestacion de servicios profesionales"/>
    <s v="DICIEMBRE"/>
    <n v="1"/>
    <n v="0"/>
    <n v="9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x v="762"/>
    <x v="601"/>
    <s v="09 - contratación directa"/>
    <x v="0"/>
    <s v="25 - contrato de prestacion de servicios profesionales"/>
    <s v="DICIEMBRE"/>
    <n v="1"/>
    <n v="0"/>
    <n v="8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x v="763"/>
    <x v="602"/>
    <s v="09 - contratación directa"/>
    <x v="0"/>
    <s v="25 - contrato de prestacion de servicios profesionales"/>
    <s v="JULIO"/>
    <n v="3"/>
    <n v="0"/>
    <n v="24236736"/>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x v="764"/>
    <x v="603"/>
    <s v="09 - contratación directa"/>
    <x v="0"/>
    <s v="25 - contrato de prestacion de servicios profesionales"/>
    <s v="SEPTIEMBRE"/>
    <n v="2"/>
    <n v="0"/>
    <n v="13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x v="765"/>
    <x v="56"/>
    <s v="09 - contratación directa"/>
    <x v="0"/>
    <s v="25 - contrato de prestacion de servicios profesionales"/>
    <s v="AGOSTO"/>
    <n v="5"/>
    <n v="0"/>
    <n v="5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x v="766"/>
    <x v="604"/>
    <s v="09 - contratación directa"/>
    <x v="0"/>
    <s v="25 - contrato de prestacion de servicios profesionales"/>
    <s v="AGOSTO"/>
    <n v="5"/>
    <n v="0"/>
    <n v="335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x v="767"/>
    <x v="605"/>
    <s v="09 - contratación directa"/>
    <x v="0"/>
    <s v="26 - contrato de prestacion de servicios de apoyo a la gestion"/>
    <s v="SEPTIEMBRE"/>
    <n v="4"/>
    <n v="0"/>
    <n v="17963264"/>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x v="768"/>
    <x v="606"/>
    <s v="09 - contratación directa"/>
    <x v="0"/>
    <s v="25 - contrato de prestacion de servicios profesionales"/>
    <s v="SEPTIEMBRE"/>
    <n v="3"/>
    <n v="0"/>
    <n v="21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x v="769"/>
    <x v="607"/>
    <s v="09 - contratación directa"/>
    <x v="0"/>
    <s v="26 - contrato de prestacion de servicios de apoyo a la gestion"/>
    <s v="AGOSTO"/>
    <n v="5"/>
    <n v="0"/>
    <n v="35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x v="770"/>
    <x v="62"/>
    <s v="09 - contratación directa"/>
    <x v="0"/>
    <s v="25 - contrato de prestacion de servicios profesionales"/>
    <s v="AGOSTO"/>
    <n v="5"/>
    <n v="0"/>
    <n v="350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x v="771"/>
    <x v="608"/>
    <s v="09 - contratación directa"/>
    <x v="0"/>
    <s v="25 - contrato de prestacion de servicios profesionales"/>
    <s v="OCTUBRE"/>
    <n v="3"/>
    <n v="15"/>
    <n v="245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x v="772"/>
    <x v="609"/>
    <s v="09 - contratación directa"/>
    <x v="0"/>
    <s v="25 - contrato de prestacion de servicios profesionales"/>
    <s v="OCTUBRE"/>
    <n v="3"/>
    <n v="0"/>
    <n v="165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x v="773"/>
    <x v="610"/>
    <s v="09 - contratación directa"/>
    <x v="0"/>
    <s v="25 - contrato de prestacion de servicios profesionales"/>
    <s v="OCTUBRE"/>
    <n v="3"/>
    <n v="0"/>
    <n v="12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x v="774"/>
    <x v="611"/>
    <s v="09 - contratación directa"/>
    <x v="0"/>
    <s v="25 - contrato de prestacion de servicios profesionales"/>
    <s v="OCTUBRE"/>
    <n v="3"/>
    <n v="0"/>
    <n v="1125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x v="775"/>
    <x v="612"/>
    <s v="09 - contratación directa"/>
    <x v="0"/>
    <s v="25 - contrato de prestacion de servicios profesionales"/>
    <s v="OCTUBRE"/>
    <n v="3"/>
    <n v="0"/>
    <n v="273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x v="776"/>
    <x v="613"/>
    <s v="04 - contratación mínima cuantía"/>
    <x v="1"/>
    <s v="08 - contrato de suministro"/>
    <s v="MAYO"/>
    <n v="8"/>
    <n v="0"/>
    <n v="3530000"/>
    <s v="NO"/>
    <x v="6"/>
    <s v="Omer Mauricio Rivera Ruiz"/>
    <x v="2"/>
    <s v="Subdirector@ de Gestión del Riesgo"/>
    <x v="0"/>
    <s v="10121801; 10121802; 10121804"/>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x v="777"/>
    <x v="614"/>
    <s v="03 - selec. abrev. subasta inversa"/>
    <x v="1"/>
    <s v="08 - contrato de suministro"/>
    <s v="MAYO"/>
    <n v="8"/>
    <n v="0"/>
    <n v="6100000"/>
    <s v="NO"/>
    <x v="6"/>
    <s v="Omer Mauricio Rivera Ruiz"/>
    <x v="2"/>
    <s v="Subdirector@ de Gestión del Riesgo"/>
    <x v="0"/>
    <s v="90101800;90101600;50192700;50112000;50202311;50201709;50161509;50192110;93131602; 50161500; 50192100; 50181900; 501017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x v="778"/>
    <x v="615"/>
    <s v="09 - contratación directa"/>
    <x v="0"/>
    <s v="25 - contrato de prestacion de servicios profesionales"/>
    <s v="ENERO"/>
    <n v="8"/>
    <n v="0"/>
    <n v="1125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x v="779"/>
    <x v="616"/>
    <s v="09 - contratación directa"/>
    <x v="0"/>
    <s v="25 - contrato de prestacion de servicios profesionales"/>
    <s v="JULIO"/>
    <n v="4"/>
    <n v="0"/>
    <n v="248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0-Prestación de servicios profesionales en la Dirección en comunicaciones y prensa, para apoyar la difusión de la información al público interno y externo de la UAECOB."/>
  </r>
  <r>
    <x v="780"/>
    <x v="617"/>
    <s v="09 - contratación directa"/>
    <x v="0"/>
    <s v="25 - contrato de prestacion de servicios profesionales"/>
    <s v="JULIO"/>
    <n v="4"/>
    <n v="0"/>
    <n v="21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x v="781"/>
    <x v="618"/>
    <s v="01 - licitación pública"/>
    <x v="1"/>
    <s v="17 - contrato de mantenimiento"/>
    <s v="JUNIO"/>
    <n v="6"/>
    <n v="0"/>
    <n v="500000000"/>
    <s v="NO"/>
    <x v="6"/>
    <s v="Omer Mauricio Rivera Ruiz"/>
    <x v="2"/>
    <s v="Subdirector@ de Gestión del Riesgo"/>
    <x v="0"/>
    <n v="78181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x v="782"/>
    <x v="619"/>
    <s v="09 - contratación directa"/>
    <x v="1"/>
    <s v="03 - contrato de prestacion de servicios"/>
    <s v="AGOSTO"/>
    <n v="10"/>
    <n v="0"/>
    <n v="160000000"/>
    <s v="NO"/>
    <x v="5"/>
    <s v="Jose Andres Ponce Caicedo"/>
    <x v="1"/>
    <s v="Subdirector@ de Gestión Corporativa"/>
    <x v="1"/>
    <s v="90101600;90111600;90141700;90151700"/>
    <x v="4"/>
    <s v="No a"/>
    <s v="li"/>
    <s v="NA"/>
    <s v="NA"/>
    <s v="NA"/>
    <s v="N/A"/>
    <s v="N/A"/>
    <s v="N/A-N/A"/>
    <s v="N/A"/>
    <s v="N/A"/>
    <s v="N/A_N/A"/>
    <s v="N/A-N/A N/A_N/A"/>
    <x v="1"/>
    <x v="1"/>
    <x v="6"/>
    <s v="No Secop"/>
    <s v="20260845-BS-No a-li-Adición  CONTRATO DE PRESTACION DE SERVICIOS 458 DE 2026 cuyo objeto es &quot;SGH - Contratar la Prestación de Servicios para desarrollar el Plan de Bienestar de la UAE Cuerpo Oficial de Bomberos para la Vigencia 2026&quot;"/>
  </r>
  <r>
    <x v="783"/>
    <x v="620"/>
    <s v="04 - contratación mínima cuantía"/>
    <x v="1"/>
    <s v="03 - contrato de prestacion de servicios"/>
    <s v="AGOSTO"/>
    <n v="5"/>
    <n v="0"/>
    <n v="48000000"/>
    <s v="NO"/>
    <x v="5"/>
    <s v="Jose Andres Ponce Caicedo"/>
    <x v="1"/>
    <s v="Subdirector@ de Gestión Corporativa"/>
    <x v="1"/>
    <s v="85121600_x000a_85121500_x000a_85122000_x000a_85122201_x000a_85101600"/>
    <x v="4"/>
    <s v="No a"/>
    <s v="li"/>
    <s v="NA"/>
    <s v="NA"/>
    <s v="NA"/>
    <s v="N/A"/>
    <s v="N/A"/>
    <s v="N/A-N/A"/>
    <s v="N/A"/>
    <s v="N/A"/>
    <s v="N/A_N/A"/>
    <s v="N/A-N/A N/A_N/A"/>
    <x v="1"/>
    <x v="1"/>
    <x v="6"/>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x v="784"/>
    <x v="621"/>
    <s v="09 - contratación directa"/>
    <x v="0"/>
    <s v="25 - contrato de prestacion de servicios profesionales"/>
    <s v="JULIO"/>
    <n v="3"/>
    <n v="0"/>
    <n v="195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x v="785"/>
    <x v="622"/>
    <s v="09 - contratación directa"/>
    <x v="0"/>
    <s v="25 - contrato de prestacion de servicios profesionales"/>
    <s v="JULIO"/>
    <n v="3"/>
    <n v="0"/>
    <n v="19500000"/>
    <s v="NO"/>
    <x v="1"/>
    <s v="Manuel Eduardo Castillo Guzman"/>
    <x v="0"/>
    <s v="Subdirector@ de Gestión Corporativa"/>
    <x v="0"/>
    <n v="80111600"/>
    <x v="5"/>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x v="786"/>
    <x v="623"/>
    <s v="09 - contratación directa"/>
    <x v="0"/>
    <s v="25 - contrato de prestacion de servicios profesionales"/>
    <s v="DICIEMBRE"/>
    <n v="1"/>
    <n v="0"/>
    <n v="9200000"/>
    <s v="NO"/>
    <x v="1"/>
    <s v="Manuel Eduardo Castillo Guzman"/>
    <x v="0"/>
    <s v="Subdirector@ de Gestión Corporativa"/>
    <x v="0"/>
    <n v="80111600"/>
    <x v="7"/>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x v="787"/>
    <x v="624"/>
    <s v="09 - contratación directa"/>
    <x v="0"/>
    <s v="25 - contrato de prestacion de servicios profesionales"/>
    <s v="JUNIO"/>
    <n v="2"/>
    <n v="0"/>
    <n v="1474596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  Prestar servicios profesionales para el desarrollo de los contenidos graficos, piezas comunicativa y de imagen institucional para la Subdirección de Gestión del riesgo._SGR"/>
  </r>
  <r>
    <x v="788"/>
    <x v="625"/>
    <s v="09 - contratación directa"/>
    <x v="0"/>
    <s v="25 - contrato de prestacion de servicios profesionales"/>
    <s v="NOVIEMBRE"/>
    <n v="1"/>
    <n v="10"/>
    <n v="107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x v="789"/>
    <x v="626"/>
    <s v="03 - selec. abrev. subasta inversa"/>
    <x v="1"/>
    <s v="06 - contrato de compraventa"/>
    <s v="JULIO"/>
    <n v="6"/>
    <n v="0"/>
    <n v="3555500000"/>
    <s v="NO"/>
    <x v="7"/>
    <s v="Yenire Yohansy Lozano Ascanio"/>
    <x v="1"/>
    <s v="Subdirector@ de Gestión Corporativa"/>
    <x v="1"/>
    <s v="46181500;_x000a_46181600"/>
    <x v="4"/>
    <s v="No a"/>
    <s v="li"/>
    <s v="NA"/>
    <s v="NA"/>
    <s v="NA"/>
    <s v="N/A"/>
    <s v="N/A"/>
    <s v="N/A-N/A"/>
    <s v="N/A"/>
    <s v="N/A"/>
    <s v="N/A_N/A"/>
    <s v="N/A-N/A N/A_N/A"/>
    <x v="1"/>
    <x v="1"/>
    <x v="19"/>
    <s v="Si Secop "/>
    <s v="20260852-BS-No a-li-Adquisición de elementos de protección personal (E.P.P.) para la atención de emergencias de la UAE Cuerpo Oficial de Bomberos de Bogotá"/>
  </r>
  <r>
    <x v="790"/>
    <x v="627"/>
    <s v="09 - contratación directa"/>
    <x v="0"/>
    <s v="26 - contrato de prestacion de servicios de apoyo a la gestion"/>
    <s v="NOVIEMBRE"/>
    <n v="1"/>
    <n v="15"/>
    <n v="565004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x v="791"/>
    <x v="628"/>
    <s v="09 - contratación directa"/>
    <x v="0"/>
    <s v="26 - contrato de prestacion de servicios de apoyo a la gestion"/>
    <s v="NOVIEMBRE"/>
    <n v="3"/>
    <n v="15"/>
    <n v="14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x v="792"/>
    <x v="624"/>
    <s v="09 - contratación directa"/>
    <x v="0"/>
    <s v="25 - contrato de prestacion de servicios profesionales"/>
    <s v="SEPTIEMBRE"/>
    <n v="4"/>
    <n v="0"/>
    <n v="20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55-TH-8173-1--  Prestar servicios profesionales para el desarrollo de los contenidos graficos, piezas comunicativa y de imagen institucional para la Subdirección de Gestión del riesgo._SGR"/>
  </r>
  <r>
    <x v="793"/>
    <x v="629"/>
    <s v="09 - contratación directa"/>
    <x v="0"/>
    <s v="25 - contrato de prestacion de servicios profesionales"/>
    <s v="NOVIEMBRE"/>
    <n v="3"/>
    <n v="0"/>
    <n v="1375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x v="794"/>
    <x v="630"/>
    <s v="09 - contratación directa"/>
    <x v="0"/>
    <s v="25 - contrato de prestacion de servicios profesionales"/>
    <s v="NOVIEMBRE"/>
    <n v="3"/>
    <n v="0"/>
    <n v="165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x v="795"/>
    <x v="631"/>
    <s v="09 - contratación directa"/>
    <x v="0"/>
    <s v="25 - contrato de prestacion de servicios profesionales"/>
    <s v="NOVIEMBRE"/>
    <n v="3"/>
    <n v="0"/>
    <n v="18000000"/>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x v="796"/>
    <x v="632"/>
    <s v="09 - contratación directa"/>
    <x v="0"/>
    <s v="25 - contrato de prestacion de servicios profesionales"/>
    <s v="NOVIEMBRE"/>
    <n v="1"/>
    <n v="0"/>
    <n v="8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x v="797"/>
    <x v="633"/>
    <s v="09 - contratación directa"/>
    <x v="0"/>
    <s v="25 - contrato de prestacion de servicios profesionales"/>
    <s v="JULIO"/>
    <n v="6"/>
    <n v="0"/>
    <n v="582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x v="798"/>
    <x v="634"/>
    <s v="09 - contratación directa"/>
    <x v="0"/>
    <s v="25 - contrato de prestacion de servicios profesionales"/>
    <s v="AGOSTO"/>
    <n v="5"/>
    <n v="0"/>
    <n v="29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x v="799"/>
    <x v="635"/>
    <s v="09 - contratación directa"/>
    <x v="0"/>
    <s v="26 - contrato de prestacion de servicios de apoyo a la gestion"/>
    <s v="OCTUBRE"/>
    <n v="2"/>
    <n v="15"/>
    <n v="900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x v="800"/>
    <x v="636"/>
    <s v="09 - contratación directa"/>
    <x v="0"/>
    <s v="25 - contrato de prestacion de servicios profesionales"/>
    <s v="OCTUBRE"/>
    <n v="3"/>
    <n v="6"/>
    <n v="30880000"/>
    <s v="NO"/>
    <x v="4"/>
    <s v="Mónica María Pérez Barragán"/>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x v="801"/>
    <x v="637"/>
    <s v="09 - contratación directa"/>
    <x v="0"/>
    <s v="25 - contrato de prestacion de servicios profesionales"/>
    <s v="NOVIEMBRE"/>
    <n v="1"/>
    <n v="21"/>
    <n v="1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x v="802"/>
    <x v="638"/>
    <s v="09 - contratación directa"/>
    <x v="0"/>
    <s v="25 - contrato de prestacion de servicios profesionales"/>
    <s v="NOVIEMBRE"/>
    <n v="1"/>
    <n v="24"/>
    <n v="153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x v="803"/>
    <x v="639"/>
    <s v="09 - contratación directa"/>
    <x v="0"/>
    <s v="25 - contrato de prestacion de servicios profesionales"/>
    <s v="NOVIEMBRE"/>
    <n v="2"/>
    <n v="0"/>
    <n v="17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x v="804"/>
    <x v="640"/>
    <s v="09 - contratación directa"/>
    <x v="0"/>
    <s v="25 - contrato de prestacion de servicios profesionales"/>
    <s v="OCTUBRE"/>
    <n v="2"/>
    <n v="15"/>
    <n v="14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x v="805"/>
    <x v="640"/>
    <s v="09 - contratación directa"/>
    <x v="0"/>
    <s v="25 - contrato de prestacion de servicios profesionales"/>
    <s v="SEPTIEMBRE"/>
    <n v="3"/>
    <n v="0"/>
    <n v="201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x v="806"/>
    <x v="641"/>
    <s v="09 - contratación directa"/>
    <x v="0"/>
    <s v="25 - contrato de prestacion de servicios profesionales"/>
    <s v="AGOSTO"/>
    <n v="4"/>
    <n v="0"/>
    <n v="1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x v="807"/>
    <x v="642"/>
    <s v="09 - contratación directa"/>
    <x v="0"/>
    <s v="25 - contrato de prestacion de servicios profesionales"/>
    <s v="OCTUBRE"/>
    <n v="1"/>
    <n v="22"/>
    <n v="15750000"/>
    <s v="NO"/>
    <x v="9"/>
    <s v="Fatima Veronica Quintero Nuñez"/>
    <x v="2"/>
    <s v="Subdirector@ de Gestión del Riesgo"/>
    <x v="0"/>
    <n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x v="808"/>
    <x v="643"/>
    <s v="09 - contratación directa"/>
    <x v="0"/>
    <s v="25 - contrato de prestacion de servicios profesionales"/>
    <s v="OCTUBRE"/>
    <n v="2"/>
    <n v="12"/>
    <n v="19200000"/>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x v="809"/>
    <x v="644"/>
    <s v="09 - contratación directa"/>
    <x v="0"/>
    <s v="25 - contrato de prestacion de servicios profesionales"/>
    <s v="OCTUBRE"/>
    <n v="2"/>
    <n v="15"/>
    <n v="16250000"/>
    <s v="NO"/>
    <x v="9"/>
    <s v="Fatima Veronica Quintero Nuñez"/>
    <x v="2"/>
    <s v="Subdirector@ de Gestión del Riesgo"/>
    <x v="0"/>
    <n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x v="810"/>
    <x v="645"/>
    <s v="09 - contratación directa"/>
    <x v="0"/>
    <s v="25 - contrato de prestacion de servicios profesionales"/>
    <s v="OCTUBRE"/>
    <n v="3"/>
    <n v="3"/>
    <n v="24800000"/>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x v="811"/>
    <x v="646"/>
    <s v="09 - contratación directa"/>
    <x v="0"/>
    <s v="25 - contrato de prestacion de servicios profesionales"/>
    <s v="JULIO"/>
    <n v="6"/>
    <n v="0"/>
    <n v="20400000"/>
    <s v="NO"/>
    <x v="9"/>
    <s v="Fatima Veronica Quintero Nuñez"/>
    <x v="2"/>
    <s v="Subdirector@ de Gestión del Riesgo"/>
    <x v="0"/>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x v="812"/>
    <x v="647"/>
    <s v="09 - contratación directa"/>
    <x v="0"/>
    <s v="26 - contrato de prestacion de servicios de apoyo a la gestion"/>
    <s v="NOVIEM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x v="813"/>
    <x v="648"/>
    <s v="09 - contratación directa"/>
    <x v="0"/>
    <s v="25 - contrato de prestacion de servicios profesionales"/>
    <s v="SEPTIEMBRE"/>
    <n v="3"/>
    <n v="0"/>
    <n v="27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x v="814"/>
    <x v="649"/>
    <s v="09 - contratación directa"/>
    <x v="0"/>
    <s v="26 - contrato de prestacion de servicios de apoyo a la gestion"/>
    <s v="SEPTIEMBRE"/>
    <n v="2"/>
    <n v="15"/>
    <n v="15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0-TH-8173-1--Adicion y prorroga cto  265-2026 Prestar servicios profesionales en las actividades de Programas y Campañas de Prevención para la Subdirección de Gestión del Riesgo._SGR"/>
  </r>
  <r>
    <x v="815"/>
    <x v="650"/>
    <s v="09 - contratación directa"/>
    <x v="0"/>
    <s v="25 - contrato de prestacion de servicios profesionales"/>
    <s v="SEPTIEMBRE"/>
    <n v="2"/>
    <n v="0"/>
    <n v="14000000"/>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x v="816"/>
    <x v="651"/>
    <s v="09 - contratación directa"/>
    <x v="0"/>
    <s v="26 - contrato de prestacion de servicios de apoyo a la gestion"/>
    <s v="OCTUBRE"/>
    <n v="1"/>
    <n v="0"/>
    <n v="4000000"/>
    <s v="NO"/>
    <x v="8"/>
    <s v="William Tovar Segura"/>
    <x v="2"/>
    <s v="Subdirector@ de Gestión del Riesgo"/>
    <x v="0"/>
    <n v="80111600"/>
    <x v="13"/>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x v="817"/>
    <x v="640"/>
    <s v="09 - contratación directa"/>
    <x v="0"/>
    <s v="25 - contrato de prestacion de servicios profesionales"/>
    <s v="SEPTIEMBRE"/>
    <n v="3"/>
    <n v="0"/>
    <n v="201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x v="818"/>
    <x v="652"/>
    <s v="09 - contratación directa"/>
    <x v="0"/>
    <s v="25 - contrato de prestacion de servicios profesionales"/>
    <s v="JULIO"/>
    <n v="4"/>
    <n v="0"/>
    <n v="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x v="819"/>
    <x v="640"/>
    <s v="09 - contratación directa"/>
    <x v="0"/>
    <s v="25 - contrato de prestacion de servicios profesionales"/>
    <s v="JULIO"/>
    <n v="4"/>
    <n v="0"/>
    <n v="248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x v="820"/>
    <x v="653"/>
    <s v="09 - contratación directa"/>
    <x v="0"/>
    <s v="25 - contrato de prestacion de servicios profesionales"/>
    <s v="JULIO"/>
    <n v="3"/>
    <n v="0"/>
    <n v="2475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x v="821"/>
    <x v="654"/>
    <s v="09 - contratación directa"/>
    <x v="0"/>
    <s v="25 - contrato de prestacion de servicios profesionales"/>
    <s v="JULIO"/>
    <n v="3"/>
    <n v="0"/>
    <n v="204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x v="822"/>
    <x v="409"/>
    <s v="09 - contratación directa"/>
    <x v="0"/>
    <s v="25 - contrato de prestacion de servicios profesionales"/>
    <s v="AGOSTO"/>
    <n v="3"/>
    <n v="0"/>
    <n v="30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0-Prestación de servicios profesionales en asuntos de comunicaciones y prensa para revisar los procesos de comunicación de entidad con el fin de evaluar su eficacia interna y externa y detectar ineficiencias en los canales de comunicación"/>
  </r>
  <r>
    <x v="823"/>
    <x v="655"/>
    <s v="09 - contratación directa"/>
    <x v="0"/>
    <s v="25 - contrato de prestacion de servicios profesionales"/>
    <s v="JULIO"/>
    <n v="4"/>
    <n v="0"/>
    <n v="2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x v="824"/>
    <x v="656"/>
    <s v="09 - contratación directa"/>
    <x v="0"/>
    <s v="25 - contrato de prestacion de servicios profesionales"/>
    <s v="JULIO"/>
    <n v="4"/>
    <n v="0"/>
    <n v="23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x v="825"/>
    <x v="657"/>
    <s v="09 - contratación directa"/>
    <x v="0"/>
    <s v="25 - contrato de prestacion de servicios profesionales"/>
    <s v="JULIO"/>
    <n v="4"/>
    <n v="0"/>
    <n v="36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x v="826"/>
    <x v="658"/>
    <s v="09 - contratación directa"/>
    <x v="0"/>
    <s v="25 - contrato de prestacion de servicios profesionales"/>
    <s v="AGOSTO"/>
    <n v="3"/>
    <n v="0"/>
    <n v="16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x v="827"/>
    <x v="659"/>
    <s v="09 - contratación directa"/>
    <x v="0"/>
    <s v="25 - contrato de prestacion de servicios profesionales"/>
    <s v="AGOSTO"/>
    <n v="3"/>
    <n v="0"/>
    <n v="225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x v="828"/>
    <x v="660"/>
    <s v="09 - contratación directa"/>
    <x v="0"/>
    <s v="25 - contrato de prestacion de servicios profesionales"/>
    <s v="SEPTIEMBRE"/>
    <n v="4"/>
    <n v="0"/>
    <n v="20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x v="829"/>
    <x v="661"/>
    <s v="09 - contratación directa"/>
    <x v="0"/>
    <s v="25 - contrato de prestacion de servicios profesionales"/>
    <s v="AGOSTO"/>
    <n v="4"/>
    <n v="0"/>
    <n v="2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x v="830"/>
    <x v="662"/>
    <s v="09 - contratación directa"/>
    <x v="0"/>
    <s v="25 - contrato de prestacion de servicios profesionales"/>
    <s v="AGOSTO"/>
    <n v="3"/>
    <n v="0"/>
    <n v="14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x v="831"/>
    <x v="663"/>
    <s v="09 - contratación directa"/>
    <x v="0"/>
    <s v="25 - contrato de prestacion de servicios profesionales"/>
    <s v="AGOSTO"/>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x v="832"/>
    <x v="664"/>
    <s v="09 - contratación directa"/>
    <x v="0"/>
    <s v="25 - contrato de prestacion de servicios profesionales"/>
    <s v="AGOSTO"/>
    <n v="4"/>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x v="833"/>
    <x v="665"/>
    <s v="09 - contratación directa"/>
    <x v="0"/>
    <s v="25 - contrato de prestacion de servicios profesionales"/>
    <s v="AGOSTO"/>
    <n v="4"/>
    <n v="0"/>
    <n v="35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x v="834"/>
    <x v="666"/>
    <s v="09 - contratación directa"/>
    <x v="0"/>
    <s v="25 - contrato de prestacion de servicios profesionales"/>
    <s v="AGOSTO"/>
    <n v="3"/>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r>
  <r>
    <x v="835"/>
    <x v="667"/>
    <s v="09 - contratación directa"/>
    <x v="0"/>
    <s v="25 - contrato de prestacion de servicios profesionales"/>
    <s v="AGOSTO"/>
    <n v="4"/>
    <n v="0"/>
    <n v="261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x v="836"/>
    <x v="668"/>
    <s v="09 - contratación directa"/>
    <x v="0"/>
    <s v="25 - contrato de prestacion de servicios profesionales"/>
    <s v="AGOSTO"/>
    <n v="4"/>
    <n v="0"/>
    <n v="1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x v="837"/>
    <x v="669"/>
    <s v="09 - contratación directa"/>
    <x v="0"/>
    <s v="25 - contrato de prestacion de servicios profesionales"/>
    <s v="AGOSTO"/>
    <n v="3"/>
    <n v="0"/>
    <n v="21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x v="838"/>
    <x v="670"/>
    <s v="09 - contratación directa"/>
    <x v="0"/>
    <s v="25 - contrato de prestacion de servicios profesionales"/>
    <s v="AGOSTO"/>
    <n v="4"/>
    <n v="0"/>
    <n v="28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x v="839"/>
    <x v="671"/>
    <s v="09 - contratación directa"/>
    <x v="0"/>
    <s v="25 - contrato de prestacion de servicios profesionales"/>
    <s v="SEPTIEMBRE"/>
    <n v="3"/>
    <n v="0"/>
    <n v="1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x v="840"/>
    <x v="672"/>
    <s v="09 - contratación directa"/>
    <x v="0"/>
    <s v="25 - contrato de prestacion de servicios profesionales"/>
    <s v="SEPTIEMBRE"/>
    <n v="3"/>
    <n v="0"/>
    <n v="1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x v="841"/>
    <x v="673"/>
    <s v="09 - contratación directa"/>
    <x v="0"/>
    <s v="25 - contrato de prestacion de servicios profesionales"/>
    <s v="SEPTIEMBRE"/>
    <n v="3"/>
    <n v="0"/>
    <n v="22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x v="842"/>
    <x v="674"/>
    <s v="09 - contratación directa"/>
    <x v="0"/>
    <s v="25 - contrato de prestacion de servicios profesionales"/>
    <s v="SEPTIEMBRE"/>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x v="843"/>
    <x v="675"/>
    <s v="09 - contratación directa"/>
    <x v="0"/>
    <s v="25 - contrato de prestacion de servicios profesionales"/>
    <s v="SEPTIEMBRE"/>
    <n v="3"/>
    <n v="0"/>
    <n v="23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x v="844"/>
    <x v="676"/>
    <s v="09 - contratación directa"/>
    <x v="0"/>
    <s v="25 - contrato de prestacion de servicios profesionales"/>
    <s v="SEPTIEMBRE"/>
    <n v="3"/>
    <n v="0"/>
    <n v="1107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x v="845"/>
    <x v="677"/>
    <s v="09 - contratación directa"/>
    <x v="0"/>
    <s v="25 - contrato de prestacion de servicios profesionales"/>
    <s v="SEPTIEMBRE"/>
    <n v="3"/>
    <n v="0"/>
    <n v="12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x v="846"/>
    <x v="678"/>
    <s v="09 - contratación directa"/>
    <x v="0"/>
    <s v="25 - contrato de prestacion de servicios profesionales"/>
    <s v="SEPTIEMBRE"/>
    <n v="3"/>
    <n v="0"/>
    <n v="10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x v="847"/>
    <x v="679"/>
    <s v="09 - contratación directa"/>
    <x v="0"/>
    <s v="25 - contrato de prestacion de servicios profesionales"/>
    <s v="SEPTIEMBRE"/>
    <n v="4"/>
    <n v="0"/>
    <n v="3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x v="848"/>
    <x v="680"/>
    <s v="09 - contratación directa"/>
    <x v="0"/>
    <s v="25 - contrato de prestacion de servicios profesionales"/>
    <s v="SEPTIEMBRE"/>
    <n v="4"/>
    <n v="0"/>
    <n v="288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x v="849"/>
    <x v="109"/>
    <s v="09 - contratación directa"/>
    <x v="0"/>
    <s v="25 - contrato de prestacion de servicios profesionales"/>
    <s v="SEPTIEMBRE"/>
    <n v="3"/>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x v="850"/>
    <x v="681"/>
    <s v="09 - contratación directa"/>
    <x v="0"/>
    <s v="25 - contrato de prestacion de servicios profesionales"/>
    <s v="NOVIEMBRE"/>
    <n v="2"/>
    <n v="0"/>
    <n v="16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x v="851"/>
    <x v="682"/>
    <s v="09 - contratación directa"/>
    <x v="0"/>
    <s v="25 - contrato de prestacion de servicios profesionales"/>
    <s v="DICIEMBRE"/>
    <n v="1"/>
    <n v="20"/>
    <n v="1088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x v="852"/>
    <x v="683"/>
    <s v="09 - contratación directa"/>
    <x v="0"/>
    <s v="25 - contrato de prestacion de servicios profesionales"/>
    <s v="DICIEMBRE"/>
    <n v="1"/>
    <n v="15"/>
    <n v="12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x v="853"/>
    <x v="684"/>
    <s v="09 - contratación directa"/>
    <x v="0"/>
    <s v="25 - contrato de prestacion de servicios profesionales"/>
    <s v="DICIEMBRE"/>
    <n v="1"/>
    <n v="12"/>
    <n v="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x v="854"/>
    <x v="685"/>
    <s v="09 - contratación directa"/>
    <x v="0"/>
    <s v="25 - contrato de prestacion de servicios profesionales"/>
    <s v="DICIEMBRE"/>
    <n v="1"/>
    <n v="12"/>
    <n v="11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x v="855"/>
    <x v="686"/>
    <s v="09 - contratación directa"/>
    <x v="0"/>
    <s v="25 - contrato de prestacion de servicios profesionales"/>
    <s v="DICIEMBRE"/>
    <n v="1"/>
    <n v="15"/>
    <n v="156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x v="856"/>
    <x v="687"/>
    <s v="09 - contratación directa"/>
    <x v="0"/>
    <s v="25 - contrato de prestacion de servicios profesionales"/>
    <s v="DICIEMBRE"/>
    <n v="2"/>
    <n v="0"/>
    <n v="12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x v="857"/>
    <x v="688"/>
    <s v="09 - contratación directa"/>
    <x v="0"/>
    <s v="25 - contrato de prestacion de servicios profesionales"/>
    <s v="DICIEMBRE"/>
    <n v="1"/>
    <n v="15"/>
    <n v="13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x v="858"/>
    <x v="689"/>
    <s v="03 - selec. abrev. subasta inversa"/>
    <x v="1"/>
    <s v="08 - contrato de suministro"/>
    <s v="AGOSTO"/>
    <n v="1"/>
    <n v="0"/>
    <n v="4000000"/>
    <s v="NO"/>
    <x v="6"/>
    <s v="Omer Mauricio Rivera Ruiz"/>
    <x v="2"/>
    <s v="Subdirector@ de Gestión del Riesgo"/>
    <x v="0"/>
    <n v="251725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929-BS-8173-4--Adición al Contrato 732-2025 cuyo objeto “Prestar el servicio de instalación, alineación, balanceo y conexos, incluyendo el suministro de llantas a los vehículos del parque automotor de la U.A.E. Cuerpo Oficial de Bomberos de Bogotá - SBLG.”"/>
  </r>
  <r>
    <x v="859"/>
    <x v="690"/>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30-TH-8173-4--Adicion y prorroga al contrato 261-2026 cuyo objeto es: &quot;Prestar servicios de apoyo técnico en las herramientas tecnologicas para el desarrollo de las estrategias de la Subdirección  Logística-SBLG&quot;"/>
  </r>
  <r>
    <x v="860"/>
    <x v="158"/>
    <s v="09 - contratación directa"/>
    <x v="0"/>
    <s v="25 - contrato de prestacion de servicios profesionales"/>
    <s v="AGOSTO"/>
    <n v="4"/>
    <n v="0"/>
    <n v="2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1-TH-8173-4--Prestación de servicios profesionales para apoyar en la elaboración, tramite e impulso de los procesos de contratación en sus diferentes etapas para el desarrollo de las estrategías de la Subdirección Logística - SBLG."/>
  </r>
  <r>
    <x v="861"/>
    <x v="416"/>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2-TH-8173-4--Prestación de servicios de apoyo a la gestión para realizar actividades documentales, administrativas relacionadas para el desarrollo de las estrategias de la Subdirección Logística. SBLG"/>
  </r>
  <r>
    <x v="862"/>
    <x v="175"/>
    <s v="09 - contratación directa"/>
    <x v="0"/>
    <s v="26 - contrato de prestacion de servicios de apoyo a la gestion"/>
    <s v="AGOSTO"/>
    <n v="3"/>
    <n v="0"/>
    <n v="1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3-TH-8173-4--Prestar servicios de apoyo a la gestión en actividades administrativas y documentales para el desarrollo de las estrategías de la Subdirección Logística - SBLG"/>
  </r>
  <r>
    <x v="863"/>
    <x v="414"/>
    <s v="09 - contratación directa"/>
    <x v="0"/>
    <s v="26 - contrato de prestacion de servicios de apoyo a la gestion"/>
    <s v="AGOSTO"/>
    <n v="3"/>
    <n v="0"/>
    <n v="84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4-TH-8173-4--Prestar servicios de apoyo a la gestión en las actividades de soporte operacional de la UAECOB Subdirección Logística. SBLG"/>
  </r>
  <r>
    <x v="864"/>
    <x v="179"/>
    <s v="09 - contratación directa"/>
    <x v="0"/>
    <s v="25 - contrato de prestacion de servicios profesionales"/>
    <s v="AGOSTO"/>
    <n v="3"/>
    <n v="0"/>
    <n v="16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5-TH-8173-4--Prestar servicios profesionales para apoyar en las actividades administrativas y tecnicas de los elementos e inventario a cargo Subdirección Logistica  – SBLG."/>
  </r>
  <r>
    <x v="865"/>
    <x v="181"/>
    <s v="09 - contratación directa"/>
    <x v="0"/>
    <s v="26 - contrato de prestacion de servicios de apoyo a la gestion"/>
    <s v="AGOSTO"/>
    <n v="3"/>
    <n v="0"/>
    <n v="9855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6-TH-8173-4--Prestar servicios de apoyo a la gestión en las actividades de soporte operacional para el desarrollo de las estrategías de la Subdirección Logística. SBLG"/>
  </r>
  <r>
    <x v="866"/>
    <x v="184"/>
    <s v="09 - contratación directa"/>
    <x v="0"/>
    <s v="25 - contrato de prestacion de servicios profesionales"/>
    <s v="AGOSTO"/>
    <n v="3"/>
    <n v="0"/>
    <n v="16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7-TH-8173-4--Prestar servicios profesionales para el seguimiento y control en la cadena de suministros e insumos para la atención de emergencias garantizando la entrega oportuna de los bienes y servicios de la Subdirección Logística. SBLG"/>
  </r>
  <r>
    <x v="867"/>
    <x v="183"/>
    <s v="09 - contratación directa"/>
    <x v="0"/>
    <s v="26 - contrato de prestacion de servicios de apoyo a la gestion"/>
    <s v="AGOSTO"/>
    <n v="3"/>
    <n v="0"/>
    <n v="108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38-TH-8173-4--Prestar servicios de apoyo a la gestión para el seguimiento y control de los suministros y consumibles  necesarios para la oportuna disponibilidad en la atención de emergencias -SBLG"/>
  </r>
  <r>
    <x v="868"/>
    <x v="417"/>
    <s v="09 - contratación directa"/>
    <x v="0"/>
    <s v="26 - contrato de prestacion de servicios de apoyo a la gestion"/>
    <s v="SEPTIEMBRE"/>
    <n v="3"/>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39-TH-8173-4--Prestar servicios de apoyo a la gestión en el manejo de las herramientas tecnológicas en diligenciamiento, seguimiento y control de las herramientas de gestión asociadas a la mesa logística de la Subdirección Logística. – SBLG"/>
  </r>
  <r>
    <x v="869"/>
    <x v="691"/>
    <s v="09 - contratación directa"/>
    <x v="0"/>
    <s v="26 - contrato de prestacion de servicios de apoyo a la gestion"/>
    <s v="AGOSTO"/>
    <n v="4"/>
    <n v="0"/>
    <n v="1312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40-TH-8173-4--Adicion y prorroga al contrato 412-2026 cuyo objeto es: &quot;Prestar servicios de apoyo a la gestión en las actividades de soporte operacional para el desarrollo de las estrategías de la Subdirección Logística. SBLG&quot;"/>
  </r>
  <r>
    <x v="870"/>
    <x v="161"/>
    <s v="09 - contratación directa"/>
    <x v="0"/>
    <s v="25 - contrato de prestacion de servicios profesionales"/>
    <s v="SEPTIEMBRE"/>
    <n v="3"/>
    <n v="0"/>
    <n v="15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1-TH-8173-4--Prestación de servicios profesionales de carácter jurídico para apoyar la gestión administrativa y la adquisición de bienes y servicios para el desarrollo de las estrategias de la Subdirección Logística. -SBLG"/>
  </r>
  <r>
    <x v="871"/>
    <x v="177"/>
    <s v="09 - contratación directa"/>
    <x v="0"/>
    <s v="26 - contrato de prestacion de servicios de apoyo a la gestion"/>
    <s v="SEPTIEMBRE"/>
    <n v="3"/>
    <n v="0"/>
    <n v="105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2-TH-8173-4--Prestar servicios como conductor para apoyar en la gestiónes tecnicas y operativas para la Subdirección Logistica- SBLG."/>
  </r>
  <r>
    <x v="872"/>
    <x v="168"/>
    <s v="09 - contratación directa"/>
    <x v="0"/>
    <s v="25 - contrato de prestacion de servicios profesionales"/>
    <s v="SEPTIEMBRE"/>
    <n v="2"/>
    <n v="15"/>
    <n v="1875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No Secop"/>
    <s v="20260943-TH-8173-4--Prestación de servicios profesionales en la gestión, seguimiento y control administrativo, financiero, presupuestal y contractual del proceso de mantenimiento del parque automotor a cargo de la Subdirección Logística - SBLG."/>
  </r>
  <r>
    <x v="873"/>
    <x v="187"/>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44-TH-8173-4--Prestar servicio de apoyo a la gestión para asistir a la Subdirección Logística en el seguimiento técnico y administrativo de los mantenimientos minimos requeridos en la Subdirección Logística - SBLG"/>
  </r>
  <r>
    <x v="874"/>
    <x v="181"/>
    <s v="09 - contratación directa"/>
    <x v="0"/>
    <s v="26 - contrato de prestacion de servicios de apoyo a la gestion"/>
    <s v="OCTUBRE"/>
    <n v="5"/>
    <n v="0"/>
    <n v="656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5-TH-8173-4--Prestar servicios de apoyo a la gestión en las actividades de soporte operacional para el desarrollo de las estrategías de la Subdirección Logística. SBLG"/>
  </r>
  <r>
    <x v="875"/>
    <x v="190"/>
    <s v="09 - contratación directa"/>
    <x v="0"/>
    <s v="25 - contrato de prestacion de servicios profesionales"/>
    <s v="OCTUBRE"/>
    <n v="2"/>
    <n v="0"/>
    <n v="16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6-TH-8173-4--Prestación de servicios profesionales para realizar el seguimiento, verificación y asignación de las solicitudes recepcionadas atraves de las herramientas tecnológicas  asociadas a la Subdirección Logística - SBLG"/>
  </r>
  <r>
    <x v="876"/>
    <x v="185"/>
    <s v="09 - contratación directa"/>
    <x v="0"/>
    <s v="25 - contrato de prestacion de servicios profesionales"/>
    <s v="OCTUBRE"/>
    <n v="2"/>
    <n v="0"/>
    <n v="13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x v="877"/>
    <x v="163"/>
    <s v="09 - contratación directa"/>
    <x v="0"/>
    <s v="25 - contrato de prestacion de servicios profesionales"/>
    <s v="OCTUBRE"/>
    <n v="2"/>
    <n v="0"/>
    <n v="9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8-TH-8173-4--Prestar los servicios profesionales para la gestión, financiera de los proyectos y procesos para el fortalecimiento de las estrategías de la Subdirección Logística - SBLG."/>
  </r>
  <r>
    <x v="878"/>
    <x v="172"/>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49-TH-8173-4--Prestar servicios de apoyo técnico en la gestión documental, administrando y diligenciando las bases de datos, y demás documentos para el desarrollo de las estrategias de la Subdirección logística. -SBLG"/>
  </r>
  <r>
    <x v="879"/>
    <x v="169"/>
    <s v="09 - contratación directa"/>
    <x v="0"/>
    <s v="25 - contrato de prestacion de servicios profesionales"/>
    <s v="OCTUBRE"/>
    <n v="2"/>
    <n v="0"/>
    <n v="16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0-TH-8173-4--Prestación de servicios profesionales para la gestión, seguimiento y control  técnico y operativo del proceso de mantenimiento del parque automotor a cargo de la Subdirección Logística - SBLG."/>
  </r>
  <r>
    <x v="880"/>
    <x v="189"/>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1-TH-8173-4--Prestar servicios de apoyo a la gestión en actividades administrativas y documentales en el procedimiento de equipo menor desarrollo de las estrategías de la Subdirección Logística - SBLG - SBLG"/>
  </r>
  <r>
    <x v="881"/>
    <x v="164"/>
    <s v="09 - contratación directa"/>
    <x v="0"/>
    <s v="25 - contrato de prestacion de servicios profesionales"/>
    <s v="OCTUBRE"/>
    <n v="2"/>
    <n v="0"/>
    <n v="12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2-TH-8173-4--Prestación de servicios profesionales para apoyar la gestión financiera y presupuestal de los proyectos, planes y estrategias a cargo de la Subdirección Logística - SBLG"/>
  </r>
  <r>
    <x v="882"/>
    <x v="159"/>
    <s v="09 - contratación directa"/>
    <x v="0"/>
    <s v="25 - contrato de prestacion de servicios profesionales"/>
    <s v="OCTUBRE"/>
    <n v="2"/>
    <n v="0"/>
    <n v="20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x v="883"/>
    <x v="167"/>
    <s v="09 - contratación directa"/>
    <x v="0"/>
    <s v="25 - contrato de prestacion de servicios profesionales"/>
    <s v="OCTUBRE"/>
    <n v="2"/>
    <n v="0"/>
    <n v="16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4-TH-8173-4--Prestación de servicios profesionales para la gestión, seguimiento y control administrativo, técnico y operativo del proceso de mantenimiento del parque automotor a cargo de la Subdirección Logística - SBLG."/>
  </r>
  <r>
    <x v="884"/>
    <x v="192"/>
    <s v="09 - contratación directa"/>
    <x v="0"/>
    <s v="25 - contrato de prestacion de servicios profesionales"/>
    <s v="OCTUBRE"/>
    <n v="2"/>
    <n v="0"/>
    <n v="9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x v="885"/>
    <x v="187"/>
    <s v="09 - contratación directa"/>
    <x v="0"/>
    <s v="26 - contrato de prestacion de servicios de apoyo a la gestion"/>
    <s v="OCTU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6-TH-8173-4--Prestar servicio de apoyo a la gestión para asistir a la Subdirección Logística en el seguimiento técnico y administrativo de los mantenimientos minimos requeridos en la Subdirección Logística - SBLG"/>
  </r>
  <r>
    <x v="886"/>
    <x v="188"/>
    <s v="09 - contratación directa"/>
    <x v="0"/>
    <s v="25 - contrato de prestacion de servicios profesionales"/>
    <s v="NOVIEMBRE"/>
    <n v="2"/>
    <n v="0"/>
    <n v="11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7-TH-8173-4--Prestación de servicios profesionales para realizar el seguimiento y monitoreo a los diferentes procesos y procedimientos del equipo menor a cargo de la Subdirección Logística - SBLG"/>
  </r>
  <r>
    <x v="887"/>
    <x v="178"/>
    <s v="09 - contratación directa"/>
    <x v="0"/>
    <s v="25 - contrato de prestacion de servicios profesionales"/>
    <s v="NOVIEMBRE"/>
    <n v="2"/>
    <n v="0"/>
    <n v="11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x v="888"/>
    <x v="187"/>
    <s v="09 - contratación directa"/>
    <x v="0"/>
    <s v="26 - contrato de prestacion de servicios de apoyo a la gestion"/>
    <s v="NOVIEMBRE"/>
    <n v="2"/>
    <n v="0"/>
    <n v="72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59-TH-8173-4--Prestar servicio de apoyo a la gestión para asistir a la Subdirección Logística en el seguimiento técnico y administrativo de los mantenimientos minimos requeridos en la Subdirección Logística - SBLG"/>
  </r>
  <r>
    <x v="889"/>
    <x v="160"/>
    <s v="09 - contratación directa"/>
    <x v="0"/>
    <s v="25 - contrato de prestacion de servicios profesionales"/>
    <s v="NOVIEMBRE"/>
    <n v="1"/>
    <n v="15"/>
    <n v="18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x v="890"/>
    <x v="182"/>
    <s v="09 - contratación directa"/>
    <x v="0"/>
    <s v="25 - contrato de prestacion de servicios profesionales"/>
    <s v="NOVIEMBRE"/>
    <n v="1"/>
    <n v="0"/>
    <n v="956306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x v="891"/>
    <x v="692"/>
    <s v="09 - contratación directa"/>
    <x v="0"/>
    <s v="25 - contrato de prestacion de servicios profesionales"/>
    <s v="AGOSTO"/>
    <n v="3"/>
    <n v="0"/>
    <n v="29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x v="892"/>
    <x v="693"/>
    <s v="09 - contratación directa"/>
    <x v="0"/>
    <s v="25 - contrato de prestacion de servicios profesionales"/>
    <s v="AGOSTO"/>
    <n v="3"/>
    <n v="0"/>
    <n v="2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x v="893"/>
    <x v="694"/>
    <s v="09 - contratación directa"/>
    <x v="0"/>
    <s v="26 - contrato de prestacion de servicios de apoyo a la gestion"/>
    <s v="AGOSTO"/>
    <n v="3"/>
    <n v="0"/>
    <n v="1107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x v="894"/>
    <x v="668"/>
    <s v="09 - contratación directa"/>
    <x v="0"/>
    <s v="26 - contrato de prestacion de servicios de apoyo a la gestion"/>
    <s v="SEPTIEMBRE"/>
    <n v="3"/>
    <n v="0"/>
    <n v="11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x v="895"/>
    <x v="672"/>
    <s v="09 - contratación directa"/>
    <x v="0"/>
    <s v="25 - contrato de prestacion de servicios profesionales"/>
    <s v="SEPTIEMBRE"/>
    <n v="2"/>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x v="896"/>
    <x v="695"/>
    <s v="09 - contratación directa"/>
    <x v="0"/>
    <s v="26 - contrato de prestacion de servicios de apoyo a la gestion"/>
    <s v="SEPTIEMBRE"/>
    <n v="3"/>
    <n v="0"/>
    <n v="123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r>
  <r>
    <x v="897"/>
    <x v="696"/>
    <s v="09 - contratación directa"/>
    <x v="0"/>
    <s v="25 - contrato de prestacion de servicios profesionales"/>
    <s v="SEPTIEMBRE"/>
    <n v="2"/>
    <n v="0"/>
    <n v="11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x v="898"/>
    <x v="697"/>
    <s v="09 - contratación directa"/>
    <x v="0"/>
    <s v="25 - contrato de prestacion de servicios profesionales"/>
    <s v="SEPTIEMBRE"/>
    <n v="2"/>
    <n v="0"/>
    <n v="12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x v="899"/>
    <x v="698"/>
    <s v="09 - contratación directa"/>
    <x v="0"/>
    <s v="25 - contrato de prestacion de servicios profesionales"/>
    <s v="SEPTIEMBRE"/>
    <n v="2"/>
    <n v="0"/>
    <n v="10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x v="900"/>
    <x v="699"/>
    <s v="09 - contratación directa"/>
    <x v="0"/>
    <s v="25 - contrato de prestacion de servicios profesionales"/>
    <s v="SEPTIEMBRE"/>
    <n v="3"/>
    <n v="0"/>
    <n v="23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x v="901"/>
    <x v="700"/>
    <s v="09 - contratación directa"/>
    <x v="0"/>
    <s v="25 - contrato de prestacion de servicios profesionales"/>
    <s v="OCTUBRE"/>
    <n v="2"/>
    <n v="15"/>
    <n v="20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x v="902"/>
    <x v="701"/>
    <s v="09 - contratación directa"/>
    <x v="0"/>
    <s v="25 - contrato de prestacion de servicios profesionales"/>
    <s v="OCTUBRE"/>
    <n v="2"/>
    <n v="0"/>
    <n v="14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x v="903"/>
    <x v="702"/>
    <s v="09 - contratación directa"/>
    <x v="0"/>
    <s v="25 - contrato de prestacion de servicios profesionales"/>
    <s v="NOVIEMBRE"/>
    <n v="2"/>
    <n v="0"/>
    <n v="11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x v="904"/>
    <x v="703"/>
    <s v="09 - contratación directa"/>
    <x v="0"/>
    <s v="26 - contrato de prestacion de servicios de apoyo a la gestion"/>
    <s v="NOVIEMBRE"/>
    <n v="1"/>
    <n v="5"/>
    <n v="4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x v="905"/>
    <x v="704"/>
    <s v="09 - contratación directa"/>
    <x v="0"/>
    <s v="25 - contrato de prestacion de servicios profesionales"/>
    <s v="NOVIEMBRE"/>
    <n v="2"/>
    <n v="0"/>
    <n v="13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x v="906"/>
    <x v="705"/>
    <s v="09 - contratación directa"/>
    <x v="0"/>
    <s v="25 - contrato de prestacion de servicios profesionales"/>
    <s v="DICIEMBRE"/>
    <n v="1"/>
    <n v="12"/>
    <n v="1035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x v="907"/>
    <x v="706"/>
    <s v="09 - contratación directa"/>
    <x v="0"/>
    <s v="25 - contrato de prestacion de servicios profesionales"/>
    <s v="DICIEMBRE"/>
    <n v="1"/>
    <n v="6"/>
    <n v="588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x v="908"/>
    <x v="707"/>
    <s v="09 - contratación directa"/>
    <x v="0"/>
    <s v="25 - contrato de prestacion de servicios profesionales"/>
    <s v="AGOSTO"/>
    <n v="5"/>
    <n v="0"/>
    <n v="45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x v="909"/>
    <x v="593"/>
    <s v="09 - contratación directa"/>
    <x v="0"/>
    <s v="25 - contrato de prestacion de servicios profesionales"/>
    <s v="AGOSTO"/>
    <n v="5"/>
    <n v="15"/>
    <n v="49746667"/>
    <s v="NO"/>
    <x v="8"/>
    <s v="William Tovar Segura"/>
    <x v="2"/>
    <s v="Subdirector@ de Gestión del Riesgo"/>
    <x v="0"/>
    <n v="80111600"/>
    <x v="15"/>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981-TH-8173-5--  Prestar  servicios profesionales  en las actividades de proyeccion e innovacion para la Subdirección de Gestión del Riesgo._SGR"/>
  </r>
  <r>
    <x v="910"/>
    <x v="708"/>
    <s v="09 - contratación directa"/>
    <x v="0"/>
    <s v="25 - contrato de prestacion de servicios profesionales"/>
    <s v="AGOSTO"/>
    <n v="5"/>
    <n v="0"/>
    <n v="18000000"/>
    <s v="NO"/>
    <x v="8"/>
    <s v="William Tovar Segura"/>
    <x v="2"/>
    <s v="Subdirector@ de Gestión del Riesgo"/>
    <x v="0"/>
    <n v="80111600"/>
    <x v="13"/>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982-TH-8173-1--Prestar servicios de apoyo a la gestión en la ejecución de labores administrativas, así como en la organización, custodia y gestión documental de los asuntos y procesos a cargo de La UAECOB"/>
  </r>
  <r>
    <x v="911"/>
    <x v="708"/>
    <s v="09 - contratación directa"/>
    <x v="0"/>
    <s v="25 - contrato de prestacion de servicios profesionales"/>
    <s v="AGOSTO"/>
    <n v="5"/>
    <n v="0"/>
    <n v="18000000"/>
    <s v="NO"/>
    <x v="4"/>
    <s v="Mónica María Pérez Barragán"/>
    <x v="1"/>
    <s v="Subdirector@ de Gestión Corporativa"/>
    <x v="1"/>
    <n v="80111600"/>
    <x v="4"/>
    <s v="No a"/>
    <s v="li"/>
    <s v="NA"/>
    <s v="NA"/>
    <s v="NA"/>
    <s v="N/A"/>
    <s v="N/A"/>
    <s v="N/A-N/A"/>
    <s v="N/A"/>
    <s v="N/A"/>
    <s v="N/A_N/A"/>
    <s v="N/A-N/A N/A_N/A"/>
    <x v="1"/>
    <x v="1"/>
    <x v="6"/>
    <s v="Si Secop "/>
    <s v="20260983-TH-No a-li-Prestar servicios de apoyo a la gestión en la ejecución de labores administrativas, así como en la organización, custodia y gestión documental de los asuntos y procesos a cargo de La UAECOB"/>
  </r>
  <r>
    <x v="912"/>
    <x v="709"/>
    <s v="09 - contratación directa"/>
    <x v="0"/>
    <s v="25 - contrato de prestacion de servicios profesionales"/>
    <s v="AGOSTO"/>
    <n v="4"/>
    <n v="0"/>
    <n v="300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x v="913"/>
    <x v="710"/>
    <s v="09 - contratación directa"/>
    <x v="0"/>
    <s v="25 - contrato de prestacion de servicios profesionales"/>
    <s v="SEPTIEMBRE"/>
    <n v="4"/>
    <n v="0"/>
    <n v="30000000"/>
    <s v="NO"/>
    <x v="1"/>
    <s v="Manuel Eduardo Castillo Guzman"/>
    <x v="0"/>
    <s v="Subdirector@ de Gestión Corporativa"/>
    <x v="0"/>
    <n v="80111600"/>
    <x v="6"/>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x v="914"/>
    <x v="66"/>
    <s v="09 - contratación directa"/>
    <x v="0"/>
    <s v="25 - contrato de prestacion de servicios profesionales"/>
    <s v="AGOSTO"/>
    <n v="3"/>
    <n v="0"/>
    <n v="21000000"/>
    <s v="NO"/>
    <x v="2"/>
    <s v="Diana Marcela Zarabanda Suarez"/>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6-TH-8126-9--Prestar servicios profesionales jurídicos para apoyar la instrucción y demás actuaciones que deban surtirse en los procesos disciplinarios adelantados por la Oficina de Control Disciplinario Interno."/>
  </r>
  <r>
    <x v="915"/>
    <x v="711"/>
    <s v="91 - n/a acto administrativo (resolución, decreto, acuerdo, etc.)"/>
    <x v="0"/>
    <s v="12 - resolucion"/>
    <s v="AGOSTO"/>
    <n v="0"/>
    <n v="10"/>
    <n v="100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37"/>
    <s v="Si Secop "/>
    <s v="20260987-TH-8173-1--Reconocimientos de gastos de alimentación y hospedaje por desplazamientos de contratistas"/>
  </r>
  <r>
    <x v="916"/>
    <x v="712"/>
    <s v="09 - contratación directa"/>
    <x v="0"/>
    <s v="25 - contrato de prestacion de servicios profesionales"/>
    <s v="AGOSTO"/>
    <n v="4"/>
    <n v="0"/>
    <n v="400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x v="917"/>
    <x v="713"/>
    <s v="91 - n/a acto administrativo (resolución, decreto, acuerdo, etc.)"/>
    <x v="0"/>
    <s v="12 - resolucion"/>
    <s v="AGOSTO"/>
    <n v="2"/>
    <n v="0"/>
    <n v="150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37"/>
    <s v="Si Secop "/>
    <s v="20260989-TH-8126-10-Reconocimiento de gastos de alimentación y hospedaje por desplazamientos de contratistas de Direccción - Prensa"/>
  </r>
  <r>
    <x v="918"/>
    <x v="714"/>
    <s v="09 - contratación directa"/>
    <x v="0"/>
    <s v="25 - contrato de prestacion de servicios profesionales"/>
    <s v="AGOSTO"/>
    <n v="3"/>
    <n v="0"/>
    <n v="1545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990-TH-8126-10-Prestación de servicios profesionales en la Dirección para el acompañamiento en las labores de gestión administrativa, en asuntos propios de comunicaciones y prensa de la UAECOB"/>
  </r>
  <r>
    <x v="919"/>
    <x v="711"/>
    <s v="91 - n/a acto administrativo (resolución, decreto, acuerdo, etc.)"/>
    <x v="0"/>
    <s v="12 - resolucion"/>
    <s v="AGOSTO"/>
    <n v="2"/>
    <n v="0"/>
    <n v="3620814"/>
    <s v="NO"/>
    <x v="8"/>
    <s v="William Tovar Segura"/>
    <x v="2"/>
    <s v="Subdirector@ de Gestión del Riesgo"/>
    <x v="0"/>
    <n v="80111600"/>
    <x v="14"/>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37"/>
    <s v="Si Secop "/>
    <s v="20260991-TH-8173-6--Reconocimientos de gastos de alimentación y hospedaje por desplazamientos de contratistas"/>
  </r>
  <r>
    <x v="920"/>
    <x v="715"/>
    <s v="09 - contratación directa"/>
    <x v="0"/>
    <s v="26 - contrato de prestacion de servicios de apoyo a la gestion"/>
    <s v="AGOSTO"/>
    <n v="3"/>
    <n v="0"/>
    <n v="14000000"/>
    <s v="NO"/>
    <x v="6"/>
    <s v="Omer Mauricio Rivera Ruiz"/>
    <x v="2"/>
    <s v="Subdirector@ de Gestión del Riesgo"/>
    <x v="0"/>
    <n v="80111600"/>
    <x v="10"/>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x v="921"/>
    <x v="188"/>
    <s v="09 - contratación directa"/>
    <x v="0"/>
    <s v="25 - contrato de prestacion de servicios profesionales"/>
    <s v="SEPTIEMBRE"/>
    <n v="3"/>
    <n v="0"/>
    <n v="21000000"/>
    <s v="NO"/>
    <x v="6"/>
    <s v="Omer Mauricio Rivera Ruiz"/>
    <x v="2"/>
    <s v="Subdirector@ de Gestión del Riesgo"/>
    <x v="0"/>
    <n v="80111600"/>
    <x v="10"/>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993-TH-8173-4--Prestación de servicios profesionales para realizar el seguimiento y monitoreo a los diferentes procesos y procedimientos del equipo menor a cargo de la Subdirección Logística - SBLG"/>
  </r>
  <r>
    <x v="922"/>
    <x v="716"/>
    <s v="09 - contratación directa"/>
    <x v="0"/>
    <s v="25 - contrato de prestacion de servicios profesionales"/>
    <s v="SEPTIEMBRE"/>
    <n v="3"/>
    <n v="0"/>
    <n v="24750000"/>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5-TH-8126-9--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r>
  <r>
    <x v="923"/>
    <x v="717"/>
    <s v="09 - contratación directa"/>
    <x v="0"/>
    <s v="25 - contrato de prestacion de servicios profesionales"/>
    <s v="SEPTIEMBRE"/>
    <n v="3"/>
    <n v="0"/>
    <n v="24750000"/>
    <s v="NO"/>
    <x v="10"/>
    <s v="Paula Ximena Henao Escobar"/>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996-TH-8126-9--Adición y prórroga al Contrato 181 de 2026 &quot;Prestación de servicios profesionales para gestionar las actividades de articulación interinstitucional, protocolo y demás que le sean indicados en la Dirección General en concordancia al marco de sus funciones&quot;"/>
  </r>
  <r>
    <x v="924"/>
    <x v="301"/>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7-TH-8126-9--Prestación de servicios de apoyo a la gestión del proceso de inventarios de la Subdirección de Gestión Corporativa.-SGC"/>
  </r>
  <r>
    <x v="925"/>
    <x v="425"/>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8-TH-8126-9--Prestación de servicios profesionales, en temas jurídicos de la gestión administrativa a cargo de la Subdirección de Gestión Corporativa.- SGC"/>
  </r>
  <r>
    <x v="926"/>
    <x v="718"/>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999-TH-8126-9--Prestar servicios profesionales para realizar acompañamiento juridico adelantados por la Subdirección Gestión Corporativa -SGC"/>
  </r>
  <r>
    <x v="927"/>
    <x v="719"/>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0-TH-8126-9--Prestación de servicios de apoyo a la gestión para los procesos financieros y contables de la Subdirección de Gestión Corporativa de la Unidad.-SGC"/>
  </r>
  <r>
    <x v="928"/>
    <x v="294"/>
    <s v="09 - contratación directa"/>
    <x v="0"/>
    <s v="26 - contrato de prestacion de servicios de apoyo a la gestion"/>
    <s v="SEPTIEMBRE"/>
    <n v="4"/>
    <n v="0"/>
    <n v="131373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1-TH-8126-9--Prestación de servicios de apoyo a la gestión en la ejecución de los planes y programas de servicio al ciudadano a cargo de la Subdirección de Gestión Corporativa.-SGC"/>
  </r>
  <r>
    <x v="929"/>
    <x v="327"/>
    <s v="09 - contratación directa"/>
    <x v="0"/>
    <s v="25 - contrato de prestacion de servicios profesionales"/>
    <s v="SEPTIEMBRE"/>
    <n v="4"/>
    <n v="0"/>
    <n v="24129756"/>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1002-TH-8173-7--Prestación de servicios profesionales con el fin de gestionar trámites de carácter técnico, administrativo y operativamente en el desarrollo de los proyectos de inversión  de la entidad-SGC"/>
  </r>
  <r>
    <x v="930"/>
    <x v="321"/>
    <s v="09 - contratación directa"/>
    <x v="0"/>
    <s v="26 - contrato de prestacion de servicios de apoyo a la gestion"/>
    <s v="SEPTIEMBRE"/>
    <n v="4"/>
    <n v="0"/>
    <n v="13137312"/>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3-TH-8126-8--Prestación de servicios de apoyo a la gestión, en la Subdirección de Gestión Corporativa en temas de infraestructura para el sostenimiento y mejoramiento de los equipamientos de la Unidad Administrativa Especial Cuerpo Oficial de Bomberos de Bogotá-SGC"/>
  </r>
  <r>
    <x v="931"/>
    <x v="349"/>
    <s v="09 - contratación directa"/>
    <x v="0"/>
    <s v="25 - contrato de prestacion de servicios profesionales"/>
    <s v="SEPTIEMBRE"/>
    <n v="3"/>
    <n v="0"/>
    <n v="21000000"/>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4-TH-8126-9--Prestación de servicios profesionales en el acompañamiento y asistencia al proceso de gestión documental de la UAE Cuerpo oficial de Bomberos. -SGC"/>
  </r>
  <r>
    <x v="932"/>
    <x v="306"/>
    <s v="09 - contratación directa"/>
    <x v="0"/>
    <s v="26 - contrato de prestacion de servicios de apoyo a la gestion"/>
    <s v="SEPTIEMBRE"/>
    <n v="4"/>
    <n v="0"/>
    <n v="11260556"/>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5-TH-8126-9--Prestación de servicios de apoyo a la gestión documental de la Subdirección de Gestión Corporativa de la Unidad.-SGC"/>
  </r>
  <r>
    <x v="933"/>
    <x v="352"/>
    <s v="09 - contratación directa"/>
    <x v="0"/>
    <s v="25 - contrato de prestacion de servicios profesionales"/>
    <s v="SEPTIEMBRE"/>
    <n v="4"/>
    <n v="0"/>
    <n v="28000000"/>
    <s v="NO"/>
    <x v="9"/>
    <s v="Fatima Veronica Quintero Nuñez"/>
    <x v="0"/>
    <s v="Subdirector@ de Gestión Corporativa"/>
    <x v="0"/>
    <s v="80111600;"/>
    <x v="16"/>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6-TH-8126-8--Prestar servicios profesionales especializados como ingeniero electrónico para apoyar las actividades propias que contribuyan al desarrollo de la infraestructura requerida por la entidad para la adecuada prestación del servicio-SGC"/>
  </r>
  <r>
    <x v="934"/>
    <x v="294"/>
    <s v="09 - contratación directa"/>
    <x v="0"/>
    <s v="26 - contrato de prestacion de servicios de apoyo a la gestion"/>
    <s v="SEPTIEMBRE"/>
    <n v="4"/>
    <n v="0"/>
    <n v="13137312"/>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7-TH-8126-9--Prestación de servicios de apoyo a la gestión en la ejecución de los planes y programas de servicio al ciudadano a cargo de la Subdirección de Gestión Corporativa.-SGC"/>
  </r>
  <r>
    <x v="935"/>
    <x v="307"/>
    <s v="09 - contratación directa"/>
    <x v="0"/>
    <s v="25 - contrato de prestacion de servicios profesionales"/>
    <s v="SEPTIEMBRE"/>
    <n v="4"/>
    <n v="0"/>
    <n v="20644348"/>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936"/>
    <x v="720"/>
    <s v="09 - contratación directa"/>
    <x v="0"/>
    <s v="26 - contrato de prestacion de servicios de apoyo a la gestion"/>
    <s v="SEPTIEMBRE"/>
    <n v="4"/>
    <n v="0"/>
    <n v="1474596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09-TH-8126-9--Prestación de servicios de apoyo a la gestión en la Subdirección de Gestión Corporativa, en las actividades asociadas a los procesos y procedimientos del almacén de la Entidad.- SGC"/>
  </r>
  <r>
    <x v="937"/>
    <x v="292"/>
    <s v="09 - contratación directa"/>
    <x v="0"/>
    <s v="25 - contrato de prestacion de servicios profesionales"/>
    <s v="SEPTIEMBRE"/>
    <n v="4"/>
    <n v="0"/>
    <n v="20000000"/>
    <s v="NO"/>
    <x v="9"/>
    <s v="Fatima Veronica Quintero Nuñez"/>
    <x v="2"/>
    <s v="Subdirector@ de Gestión Corporativa"/>
    <x v="0"/>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1010-TH-8173-8--Prestar los servicios profesionales en las actividades asociadas del área de infraestructura que contribuyan para la implementación de procesos y procedimientos para la adecuada prestación del servicio-SGC."/>
  </r>
  <r>
    <x v="938"/>
    <x v="300"/>
    <s v="09 - contratación directa"/>
    <x v="0"/>
    <s v="25 - contrato de prestacion de servicios profesionales"/>
    <s v="SEPTIEMBRE"/>
    <n v="4"/>
    <n v="0"/>
    <n v="29491924"/>
    <s v="NO"/>
    <x v="9"/>
    <s v="Fatima Veronica Quintero Nuñez"/>
    <x v="0"/>
    <s v="Subdirector@ de Gestión Corporativa"/>
    <x v="0"/>
    <s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11-TH-8126-9--Prestación de servicios profesionales en la Subdirección de Gestión Corporativa en las actividades relacionadas con MIPG-SGC"/>
  </r>
  <r>
    <x v="939"/>
    <x v="721"/>
    <s v="09 - contratación directa"/>
    <x v="0"/>
    <s v="25 - contrato de prestacion de servicios profesionales"/>
    <s v="NOVIEMBRE"/>
    <n v="1"/>
    <n v="23"/>
    <n v="1265137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2-TH-8126-5--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r>
  <r>
    <x v="940"/>
    <x v="722"/>
    <s v="09 - contratación directa"/>
    <x v="0"/>
    <s v="25 - contrato de prestacion de servicios profesionales"/>
    <s v="NOVIEMBRE"/>
    <n v="1"/>
    <n v="18"/>
    <n v="1148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941"/>
    <x v="723"/>
    <s v="09 - contratación directa"/>
    <x v="0"/>
    <s v="25 - contrato de prestacion de servicios profesionales"/>
    <s v="NOVIEMBRE"/>
    <n v="1"/>
    <n v="3"/>
    <n v="78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r>
  <r>
    <x v="942"/>
    <x v="724"/>
    <s v="09 - contratación directa"/>
    <x v="0"/>
    <s v="26 - contrato de prestacion de servicios de apoyo a la gestion"/>
    <s v="DICIEMBRE"/>
    <n v="0"/>
    <n v="22"/>
    <n v="2933333"/>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r>
  <r>
    <x v="943"/>
    <x v="22"/>
    <s v="09 - contratación directa"/>
    <x v="0"/>
    <s v="25 - contrato de prestacion de servicios profesionales"/>
    <s v="DICIEMBRE"/>
    <n v="0"/>
    <n v="15"/>
    <n v="420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x v="944"/>
    <x v="725"/>
    <s v="09 - contratación directa"/>
    <x v="0"/>
    <s v="25 - contrato de prestacion de servicios profesionales"/>
    <s v="NOVIEMBRE"/>
    <n v="1"/>
    <n v="0"/>
    <n v="55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7-TH-8126-6--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r>
  <r>
    <x v="945"/>
    <x v="726"/>
    <s v="09 - contratación directa"/>
    <x v="0"/>
    <s v="25 - contrato de prestacion de servicios profesionales"/>
    <s v="NOVIEMBRE"/>
    <n v="1"/>
    <n v="0"/>
    <n v="7500000"/>
    <s v="NO"/>
    <x v="0"/>
    <s v="Paula Ximena Henao Escobar"/>
    <x v="0"/>
    <s v="Subdirector@ de Gestión Corporativa"/>
    <x v="0"/>
    <n v="80111600"/>
    <x v="3"/>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8-TH-8126-6--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r>
  <r>
    <x v="946"/>
    <x v="727"/>
    <s v="09 - contratación directa"/>
    <x v="0"/>
    <s v="25 - contrato de prestacion de servicios profesionales"/>
    <s v="NOVIEMBRE"/>
    <n v="1"/>
    <n v="12"/>
    <n v="7450000"/>
    <s v="NO"/>
    <x v="0"/>
    <s v="Paula Ximena Henao Escobar"/>
    <x v="0"/>
    <s v="Subdirector@ de Gestión Corporativa"/>
    <x v="0"/>
    <n v="80111600"/>
    <x v="0"/>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1019-TH-8126-5--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r>
  <r>
    <x v="947"/>
    <x v="728"/>
    <s v="04 - contratación mínima cuantía"/>
    <x v="1"/>
    <s v="24 - contrato de servicio"/>
    <s v="OCTUBRE"/>
    <n v="12"/>
    <n v="0"/>
    <n v="35683333"/>
    <s v="NO"/>
    <x v="0"/>
    <s v="Paula Ximena Henao Escobar"/>
    <x v="0"/>
    <s v="Subdirector@ de Gestión Corporativa"/>
    <x v="0"/>
    <n v="81112401"/>
    <x v="1"/>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1020-BS-8126-4--Contratar la adquisición, instalación y puesta en marcha de un software de gestión de turnos, filas y direccionamiento de usuarios integrado con un sistema de control de acceso que garantice y agilice los procedimientos de registro e identificación de los colaboradores y usuarios de la entidad."/>
  </r>
  <r>
    <x v="948"/>
    <x v="729"/>
    <s v="09 - contratación directa"/>
    <x v="0"/>
    <s v="25 - contrato de prestacion de servicios profesionales"/>
    <s v="OCTUBRE"/>
    <n v="2"/>
    <n v="0"/>
    <n v="16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21-TH-8126-9--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r>
  <r>
    <x v="949"/>
    <x v="730"/>
    <s v="09 - contratación directa"/>
    <x v="0"/>
    <s v="25 - contrato de prestacion de servicios profesionales"/>
    <s v="OCTUBRE"/>
    <n v="2"/>
    <n v="0"/>
    <n v="13600000"/>
    <s v="NO"/>
    <x v="11"/>
    <s v="Paula Ximena Henao Escobar"/>
    <x v="0"/>
    <s v="Subdirector@ de Gestión Corporativa"/>
    <x v="0"/>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1022-TH-8126-10-Prestar servicios profesionales en asuntos de comunicaciones y prensa orientadas a contribuir en las necesidades de la Entidad y facilitar la inserción de nuevas estrategias de comunicación"/>
  </r>
  <r>
    <x v="950"/>
    <x v="731"/>
    <s v="09 - contratación directa"/>
    <x v="0"/>
    <s v="25 - contrato de prestacion de servicios profesionales"/>
    <s v="OCTUBRE"/>
    <n v="2"/>
    <n v="0"/>
    <n v="16500000"/>
    <s v="NO"/>
    <x v="10"/>
    <s v="Paula Ximena Henao Escobar"/>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1023-TH-8126-9--Prestar servicios profesionales jurídicos en la Dirección General de la UAECOB, para apoyar la gestión, revisión y seguimiento de temas de la dirección, contratación y estratégicos de la misionalidad de la Entidad"/>
  </r>
  <r>
    <x v="951"/>
    <x v="732"/>
    <s v="09 - contratación directa"/>
    <x v="0"/>
    <s v="25 - contrato de prestacion de servicios profesionales"/>
    <s v="NOVIEMBRE"/>
    <n v="1"/>
    <n v="0"/>
    <n v="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4-TH-8173-9--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r>
  <r>
    <x v="952"/>
    <x v="733"/>
    <s v="09 - contratación directa"/>
    <x v="0"/>
    <s v="25 - contrato de prestacion de servicios profesionales"/>
    <s v="NOVIEMBRE"/>
    <n v="1"/>
    <n v="0"/>
    <n v="6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5-TH-8173-9--Adición y prorroga Cto XX-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r>
  <r>
    <x v="953"/>
    <x v="734"/>
    <s v="09 - contratación directa"/>
    <x v="0"/>
    <s v="25 - contrato de prestacion de servicios profesionales"/>
    <s v="NOVIEMBRE"/>
    <n v="1"/>
    <n v="0"/>
    <n v="52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6-TH-8173-9--Adición y prorroga Cto XX-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r>
  <r>
    <x v="954"/>
    <x v="735"/>
    <s v="09 - contratación directa"/>
    <x v="0"/>
    <s v="25 - contrato de prestacion de servicios profesionales"/>
    <s v="NOVIEMBRE"/>
    <n v="1"/>
    <n v="0"/>
    <n v="59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27-TH-8173-9--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r>
  <r>
    <x v="955"/>
    <x v="736"/>
    <s v="09 - contratación directa"/>
    <x v="0"/>
    <s v="25 - contrato de prestacion de servicios profesionales"/>
    <s v="NOVIEMBRE"/>
    <n v="2"/>
    <n v="0"/>
    <n v="13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r>
  <r>
    <x v="956"/>
    <x v="737"/>
    <s v="09 - contratación directa"/>
    <x v="0"/>
    <s v="25 - contrato de prestacion de servicios profesionales"/>
    <s v="SEPTIEMBRE"/>
    <n v="3"/>
    <n v="0"/>
    <n v="180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1029-TH-8173-9--SGH - Prestar servicios profesionales jurídicos en la Subdirección de Gestión Humana, apoyando las gestiones legales y administrativas relacionadas con los procesos de nómina y recobro de incapacidades."/>
  </r>
  <r>
    <x v="957"/>
    <x v="738"/>
    <s v="09 - contratación directa"/>
    <x v="0"/>
    <s v="26 - contrato de prestacion de servicios de apoyo a la gestion"/>
    <s v="DICIEMBRE"/>
    <n v="1"/>
    <n v="4"/>
    <n v="48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0-TH-8126-9--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r>
  <r>
    <x v="958"/>
    <x v="739"/>
    <s v="09 - contratación directa"/>
    <x v="0"/>
    <s v="25 - contrato de prestacion de servicios profesionales"/>
    <s v="DICIEMBRE"/>
    <n v="1"/>
    <n v="0"/>
    <n v="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1-TH-8126-9--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x v="959"/>
    <x v="740"/>
    <s v="09 - contratación directa"/>
    <x v="0"/>
    <s v="25 - contrato de prestacion de servicios profesionales"/>
    <s v="DICIEMBRE"/>
    <n v="1"/>
    <n v="0"/>
    <n v="7000000"/>
    <s v="NO"/>
    <x v="5"/>
    <s v="Jose Andres Ponce Caicedo"/>
    <x v="0"/>
    <s v="Subdirector@ de Gestión Corporativa"/>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2-TH-8126-9--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r>
  <r>
    <x v="960"/>
    <x v="741"/>
    <s v="09 - contratación directa"/>
    <x v="1"/>
    <s v="02 - contratos interadministrativos"/>
    <s v="OCTUBRE"/>
    <n v="4"/>
    <n v="0"/>
    <n v="116011920"/>
    <s v="NO"/>
    <x v="5"/>
    <s v="Jose Andres Ponce Caicedo"/>
    <x v="2"/>
    <s v="Subdirector@ de Gestión del Riesgo"/>
    <x v="0"/>
    <s v="86101600, 86101700, 86101800, 86111600, 86141500,  86121800, 80111500,86131800, 86101711"/>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r>
  <r>
    <x v="961"/>
    <x v="742"/>
    <s v="09 - contratación directa"/>
    <x v="0"/>
    <s v="25 - contrato de prestacion de servicios profesionales"/>
    <s v="DICIEMBRE"/>
    <n v="1"/>
    <n v="0"/>
    <n v="7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4-TH-8173-9--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r>
  <r>
    <x v="962"/>
    <x v="743"/>
    <s v="09 - contratación directa"/>
    <x v="0"/>
    <s v="25 - contrato de prestacion de servicios profesionales"/>
    <s v="DICIEMBRE"/>
    <n v="1"/>
    <n v="0"/>
    <n v="74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5-TH-8173-9--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r>
  <r>
    <x v="963"/>
    <x v="744"/>
    <s v="09 - contratación directa"/>
    <x v="0"/>
    <s v="26 - contrato de prestacion de servicios de apoyo a la gestion"/>
    <s v="DICIEMBRE"/>
    <n v="1"/>
    <n v="0"/>
    <n v="3700000"/>
    <s v="NO"/>
    <x v="5"/>
    <s v="Jose Andres Ponce Caicedo"/>
    <x v="2"/>
    <s v="Subdirector@ de Gestión del Riesgo"/>
    <x v="0"/>
    <n v="80111600"/>
    <x v="9"/>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1036-TH-8173-9--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r>
  <r>
    <x v="964"/>
    <x v="745"/>
    <s v="09 - contratación directa"/>
    <x v="0"/>
    <s v="25 - contrato de prestacion de servicios profesionales"/>
    <s v="NOVIEMBRE"/>
    <n v="1"/>
    <n v="3"/>
    <n v="858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7-TH-8126-9--Adición y prórroga del Contrato 140-2026 cuyo objeto es: Prestar servicios profesionales jurídicos especializados en la Oficina de Control Disciplinario Interno para orientar, revisar y apoyar los documentos que se elaboren en el desarrollo del proceso disciplinario en etapa de instrucción "/>
  </r>
  <r>
    <x v="965"/>
    <x v="746"/>
    <s v="09 - contratación directa"/>
    <x v="0"/>
    <s v="25 - contrato de prestacion de servicios profesionales"/>
    <s v="NOVIEMBRE"/>
    <n v="1"/>
    <n v="2"/>
    <n v="9066666.666666666"/>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r>
  <r>
    <x v="966"/>
    <x v="747"/>
    <s v="09 - contratación directa"/>
    <x v="0"/>
    <s v="25 - contrato de prestacion de servicios profesionales"/>
    <s v="NOVIEMBRE"/>
    <n v="1"/>
    <n v="25"/>
    <n v="14666666.666666668"/>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r>
  <r>
    <x v="967"/>
    <x v="748"/>
    <s v="09 - contratación directa"/>
    <x v="0"/>
    <s v="25 - contrato de prestacion de servicios profesionales"/>
    <s v="DICIEMBRE"/>
    <n v="1"/>
    <n v="15"/>
    <n v="105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0-TH-8126-9--Adición y prórroga del Contrato 245-2026 cuyo objeto es: Prestar servicios profesionales jurídicos para apoyar la instrucción y demás actuaciones que deban surtirse en los procesos disciplinarios adelantados por la Oficina de Control Disciplinario Interno."/>
  </r>
  <r>
    <x v="968"/>
    <x v="749"/>
    <s v="09 - contratación directa"/>
    <x v="0"/>
    <s v="25 - contrato de prestacion de servicios profesionales"/>
    <s v="DICIEMBRE"/>
    <n v="0"/>
    <n v="29"/>
    <n v="67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1-TH-8126-9--Adición y prórroga del Contrato 200-2026 cuyo objeto es: Prestar servicios profesionales jurídicos para apoyar la instrucción y demás actuaciones que deban surtirse en los procesos disciplinarios adelantados por la Oficina de Control Disciplinario Interno. "/>
  </r>
  <r>
    <x v="969"/>
    <x v="750"/>
    <s v="09 - contratación directa"/>
    <x v="0"/>
    <s v="25 - contrato de prestacion de servicios profesionales"/>
    <s v="NOVIEMBRE"/>
    <n v="1"/>
    <n v="9"/>
    <n v="91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2-TH-8126-9--Adición y prórroga del Contrato 145-2026 cuyo objeto es: Prestar servicios profesionales jurídicos para apoyar la instrucción y demás actuaciones que deban surtirse en los procesos disciplinarios adelantados por la Oficina de Control Disciplinario Interno."/>
  </r>
  <r>
    <x v="970"/>
    <x v="751"/>
    <s v="09 - contratación directa"/>
    <x v="0"/>
    <s v="25 - contrato de prestacion de servicios profesionales"/>
    <s v="NOVIEMBRE"/>
    <n v="1"/>
    <n v="2"/>
    <n v="74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3-TH-8126-9--Adición y prórroga del Contrato 199-2026 cuyo objeto es: Prestar servicios profesionales jurídicos para apoyar la instrucción y demás actuaciones que deban surtirse en los procesos disciplinarios adelantados por la Oficina de Control Disciplinario Interno."/>
  </r>
  <r>
    <x v="971"/>
    <x v="752"/>
    <s v="09 - contratación directa"/>
    <x v="0"/>
    <s v="25 - contrato de prestacion de servicios profesionales"/>
    <s v="DICIEMBRE"/>
    <n v="0"/>
    <n v="23"/>
    <n v="5366666.666666667"/>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4-TH-8126-9--Adición y prórroga del Contrato 558-2026 cuyo objeto es: Prestar servicios profesionales jurídicos para apoyar la instrucción y demás actuaciones que deban surtirse en los procesos disciplinarios adelantados por la Oficina de Control Disciplinario Interno."/>
  </r>
  <r>
    <x v="972"/>
    <x v="753"/>
    <s v="09 - contratación directa"/>
    <x v="0"/>
    <s v="25 - contrato de prestacion de servicios profesionales"/>
    <s v="OCTUBRE"/>
    <n v="2"/>
    <n v="21"/>
    <n v="1620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r>
  <r>
    <x v="973"/>
    <x v="754"/>
    <s v="09 - contratación directa"/>
    <x v="0"/>
    <s v="25 - contrato de prestacion de servicios profesionales"/>
    <s v="DICIEMBRE"/>
    <n v="0"/>
    <n v="28"/>
    <n v="3360000"/>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6-TH-8126-9--Adición y prórroga del Contrato 203-2026 cuyo objeto es: Prestación de servicios de apoyo técnico a la Oficina de Control Disciplinario Interno de la UAECOB para la gestión y cumplimiento de las funciones administrativas asignadas."/>
  </r>
  <r>
    <x v="974"/>
    <x v="755"/>
    <s v="09 - contratación directa"/>
    <x v="0"/>
    <s v="25 - contrato de prestacion de servicios profesionales"/>
    <s v="OCTUBRE"/>
    <n v="2"/>
    <n v="5"/>
    <n v="6066666.666666666"/>
    <s v="NO"/>
    <x v="2"/>
    <s v="Diana Marcela Zarabanda Suarez"/>
    <x v="0"/>
    <s v="Fatima Veronica Quintero Nuñez"/>
    <x v="0"/>
    <n v="80111600"/>
    <x v="8"/>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r>
  <r>
    <x v="975"/>
    <x v="756"/>
    <s v="09 - contratación directa"/>
    <x v="0"/>
    <s v="25 - contrato de prestacion de servicios profesionales"/>
    <s v="NOVIEMBRE"/>
    <n v="1"/>
    <n v="15"/>
    <n v="1005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r>
  <r>
    <x v="976"/>
    <x v="757"/>
    <s v="09 - contratación directa"/>
    <x v="0"/>
    <s v="26 - contrato de prestacion de servicios de apoyo a la gestion"/>
    <s v="NOVIEMBRE"/>
    <n v="1"/>
    <n v="0"/>
    <n v="3284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r>
  <r>
    <x v="977"/>
    <x v="758"/>
    <s v="09 - contratación directa"/>
    <x v="0"/>
    <s v="25 - contrato de prestacion de servicios profesionales"/>
    <s v="OCTUBRE"/>
    <n v="2"/>
    <n v="0"/>
    <n v="99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r>
  <r>
    <x v="978"/>
    <x v="759"/>
    <s v="09 - contratación directa"/>
    <x v="0"/>
    <s v="25 - contrato de prestacion de servicios profesionales"/>
    <s v="OCTUBRE"/>
    <n v="3"/>
    <n v="0"/>
    <n v="258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1051-TH-8173-2--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r>
  <r>
    <x v="979"/>
    <x v="760"/>
    <s v="09 - contratación directa"/>
    <x v="0"/>
    <s v="25 - contrato de prestacion de servicios profesionales"/>
    <s v="OCTUBRE"/>
    <n v="2"/>
    <n v="0"/>
    <n v="10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r>
  <r>
    <x v="980"/>
    <x v="761"/>
    <s v="09 - contratación directa"/>
    <x v="0"/>
    <s v="25 - contrato de prestacion de servicios profesionales"/>
    <s v="SEPTIEMBRE"/>
    <n v="3"/>
    <n v="0"/>
    <n v="195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3-TH-8173-1--prestación de servicios profesionales para ejecutar el componente de información geográfica, georreferenciación y generación de alertas mediante las herramientas, sistemas de información y recursos disponibles y a cargo de la Subdirección Operativa-S.O."/>
  </r>
  <r>
    <x v="981"/>
    <x v="762"/>
    <s v="09 - contratación directa"/>
    <x v="0"/>
    <s v="25 - contrato de prestacion de servicios profesionales"/>
    <s v="SEPTIEMBRE"/>
    <n v="4"/>
    <n v="0"/>
    <n v="36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4-TH-8173-2--Prestación de servicios profesionales jurídicos para realizar el seguimiento y control de las actividades relacionadas con procesos contractuales, para el acompañamiento de los programas y metas de la Subdirección Operativa-S.O."/>
  </r>
  <r>
    <x v="982"/>
    <x v="763"/>
    <s v="09 - contratación directa"/>
    <x v="0"/>
    <s v="25 - contrato de prestacion de servicios profesionales"/>
    <s v="SEPTIEMBRE"/>
    <n v="3"/>
    <n v="0"/>
    <n v="225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5-TH-8173-2--Prestación de servicios profesionales para gestionar actividades de articulación con las alcaldías locales del distrito para la optimización de procesos operativos, para el desarrollo de los programas de la Subdirección Operativa-S.O."/>
  </r>
  <r>
    <x v="983"/>
    <x v="764"/>
    <s v="09 - contratación directa"/>
    <x v="0"/>
    <s v="26 - contrato de prestacion de servicios de apoyo a la gestion"/>
    <s v="SEPTIEMBRE"/>
    <n v="3"/>
    <n v="0"/>
    <n v="96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r>
  <r>
    <x v="984"/>
    <x v="765"/>
    <s v="09 - contratación directa"/>
    <x v="0"/>
    <s v="26 - contrato de prestacion de servicios de apoyo a la gestion"/>
    <s v="SEPTIEMBRE"/>
    <n v="3"/>
    <n v="0"/>
    <n v="8400000"/>
    <s v="NO"/>
    <x v="7"/>
    <s v="Yenire Yohansy Lozano Ascanio"/>
    <x v="2"/>
    <s v="Subdirector@ de Gestión del Riesgo"/>
    <x v="0"/>
    <n v="80111600"/>
    <x v="13"/>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r>
  <r>
    <x v="985"/>
    <x v="766"/>
    <s v="09 - contratación directa"/>
    <x v="0"/>
    <s v="25 - contrato de prestacion de servicios profesionales"/>
    <s v="SEPTIEMBRE"/>
    <n v="3"/>
    <n v="0"/>
    <n v="24000000"/>
    <s v="NO"/>
    <x v="7"/>
    <s v="Yenire Yohansy Lozano Ascanio"/>
    <x v="2"/>
    <s v="Subdirector@ de Gestión del Riesgo"/>
    <x v="0"/>
    <n v="80111600"/>
    <x v="11"/>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1058-TH-8173-2--Prestación de servicios profesionales para apoyar jurídicamente los proyectos, procesos y procedimientos, para el desarrollo de los programas de la Subdirección Operativa-S.O"/>
  </r>
  <r>
    <x v="986"/>
    <x v="767"/>
    <s v="01 - licitación pública"/>
    <x v="1"/>
    <s v="15 - contrato de seguros"/>
    <s v="OCTUBRE"/>
    <n v="0"/>
    <n v="123"/>
    <n v="176602212"/>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x v="987"/>
    <x v="768"/>
    <s v="01 - licitación pública"/>
    <x v="1"/>
    <s v="15 - contrato de seguros"/>
    <s v="OCTUBRE"/>
    <n v="0"/>
    <n v="83"/>
    <n v="1756523433"/>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0-BS-No a-li-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r>
  <r>
    <x v="988"/>
    <x v="769"/>
    <s v="01 - licitación pública"/>
    <x v="1"/>
    <s v="15 - contrato de seguros"/>
    <s v="OCTUBRE"/>
    <n v="0"/>
    <n v="75"/>
    <n v="43134273"/>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1-BS-No a-li-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r>
  <r>
    <x v="989"/>
    <x v="770"/>
    <s v="01 - licitación pública"/>
    <x v="1"/>
    <s v="15 - contrato de seguros"/>
    <s v="OCTUBRE"/>
    <n v="0"/>
    <n v="83"/>
    <n v="71221001"/>
    <s v="NO"/>
    <x v="9"/>
    <s v="Fatima Veronica Quintero Nuñez"/>
    <x v="1"/>
    <s v="Subdirector@ de Gestión Corporativa"/>
    <x v="1"/>
    <s v="84131501;_x000a_84131503;_x000a_84131504;_x000a_84131512;_x000a_84131513;_x000a_84131515; _x000a_84131601,_x000a_84131603;_x000a_84131607;_x000a_84131515;"/>
    <x v="4"/>
    <s v="No a"/>
    <s v="li"/>
    <s v="NA"/>
    <s v="NA"/>
    <s v="NA"/>
    <s v="N/A"/>
    <s v="N/A"/>
    <s v="N/A-N/A"/>
    <s v="N/A"/>
    <s v="N/A"/>
    <s v="N/A_N/A"/>
    <s v="N/A-N/A N/A_N/A"/>
    <x v="1"/>
    <x v="1"/>
    <x v="6"/>
    <s v="No Secop"/>
    <s v="20261062-BS-No a-li-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r>
  <r>
    <x v="990"/>
    <x v="771"/>
    <s v="09 - contratación directa"/>
    <x v="0"/>
    <s v="25 - contrato de prestacion de servicios profesionales"/>
    <s v="OCTUBRE"/>
    <n v="4"/>
    <n v="0"/>
    <n v="20644348"/>
    <s v="NO"/>
    <x v="9"/>
    <s v="Fatima Veronica Quintero Nuñez"/>
    <x v="2"/>
    <s v="Subdirector@ de Gestión del Riesgo"/>
    <x v="0"/>
    <s v="80111600;"/>
    <x v="17"/>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r>
  <r>
    <x v="991"/>
    <x v="457"/>
    <s v="01 - licitación pública"/>
    <x v="1"/>
    <s v="03 - contrato de prestacion de servicios"/>
    <s v="OCTUBRE"/>
    <n v="0"/>
    <n v="0"/>
    <n v="733444577"/>
    <s v="NO"/>
    <x v="9"/>
    <s v="Fatima Veronica Quintero Nuñez"/>
    <x v="1"/>
    <s v="Subdirector@ de Gestión Corporativa"/>
    <x v="1"/>
    <s v="44121700;_x000a_44121800;_x000a_44121900;_x000a_44122000;"/>
    <x v="4"/>
    <s v="No a"/>
    <s v="li"/>
    <s v="NA"/>
    <s v="NA"/>
    <s v="NA"/>
    <s v="N/A"/>
    <s v="N/A"/>
    <s v="N/A-N/A"/>
    <s v="N/A"/>
    <s v="N/A"/>
    <s v="N/A_N/A"/>
    <s v="N/A-N/A N/A_N/A"/>
    <x v="1"/>
    <x v="1"/>
    <x v="6"/>
    <s v="No Secop"/>
    <s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
  </r>
  <r>
    <x v="992"/>
    <x v="772"/>
    <s v="09 - contratación directa"/>
    <x v="0"/>
    <s v="25 - contrato de prestacion de servicios profesionales"/>
    <s v="OCTUBRE"/>
    <n v="2"/>
    <n v="10"/>
    <n v="8909055"/>
    <s v="NO"/>
    <x v="8"/>
    <s v="William Tovar Segura"/>
    <x v="2"/>
    <s v="Subdirector@ de Gestión del Riesgo"/>
    <x v="0"/>
    <n v="80111600"/>
    <x v="13"/>
    <s v="8173"/>
    <s v="1-"/>
    <s v="O230117"/>
    <s v="4503"/>
    <n v="20240255"/>
    <s v="05"/>
    <s v="Servicio de capacitaciones en gestión del riesgo de incendios  a la ciudadania."/>
    <s v="05-Infraestructura física misional construida mantenida y dotada "/>
    <s v="035"/>
    <s v="Servicio prevención y control de incendios"/>
    <s v="035_Estaciones de bomberos adecuadas"/>
    <s v="05-Infraestructura física misional construida mantenida y dotada  035_Estaciones de bomberos adecuadas"/>
    <x v="10"/>
    <x v="17"/>
    <x v="0"/>
    <s v="No Secop"/>
    <s v="20261065-TH-8173-1--Adicion  y proroga cto  107-2026 Prestar servicios apoyo técnico para el desarrollo de los contenidos graficos, piezas comunicativa y de imagen institucional para la Subdirección de Gestión del riesgo._SGR"/>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5">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x v="0"/>
    <s v="25 - contrato de prestacion de servicios profesionales"/>
    <s v="ENERO"/>
    <n v="11"/>
    <n v="0"/>
    <n v="119999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x v="0"/>
    <s v="25 - contrato de prestacion de servicios profesionales"/>
    <s v="ENERO"/>
    <n v="6"/>
    <n v="0"/>
    <n v="45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x v="0"/>
    <s v="25 - contrato de prestacion de servicios profesionales"/>
    <s v="ENERO"/>
    <n v="6"/>
    <n v="0"/>
    <n v="33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x v="0"/>
    <s v="25 - contrato de prestacion de servicios profesionales"/>
    <s v="ENERO"/>
    <n v="6"/>
    <n v="0"/>
    <n v="57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x v="0"/>
    <s v="25 - contrato de prestacion de servicios profesionales"/>
    <s v="ENERO"/>
    <n v="12"/>
    <n v="0"/>
    <n v="936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ENERO"/>
    <n v="11"/>
    <n v="0"/>
    <n v="60500000"/>
    <s v="NO"/>
    <s v="Dirección Tic"/>
    <s v="Paula Ximena Henao Escobar"/>
    <x v="0"/>
    <s v="Subdirector@ de Gestión Corporativa"/>
    <x v="0"/>
    <s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FEBRERO"/>
    <n v="10"/>
    <n v="0"/>
    <n v="40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6"/>
    <n v="0"/>
    <n v="24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x v="0"/>
    <s v="25 - contrato de prestacion de servicios profesionales"/>
    <s v="ENERO"/>
    <n v="12"/>
    <n v="0"/>
    <n v="84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FEBRERO"/>
    <n v="10"/>
    <n v="0"/>
    <n v="7800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x v="0"/>
    <s v="25 - contrato de prestacion de servicios profesionales"/>
    <s v="ENERO"/>
    <n v="12"/>
    <n v="0"/>
    <n v="6192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x v="0"/>
    <s v="26 - contrato de prestacion de servicios de apoyo a la gestion"/>
    <s v="ENERO"/>
    <n v="6"/>
    <n v="0"/>
    <n v="2694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ENERO"/>
    <n v="11"/>
    <n v="0"/>
    <n v="44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x v="0"/>
    <s v="26 - contrato de prestacion de servicios de apoyo a la gestion"/>
    <s v="ENERO"/>
    <n v="11"/>
    <n v="0"/>
    <n v="440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ENERO"/>
    <n v="10"/>
    <n v="0"/>
    <n v="780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x v="0"/>
    <s v="25 - contrato de prestacion de servicios profesionales"/>
    <s v="ENERO"/>
    <n v="10"/>
    <n v="0"/>
    <n v="49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FEBRERO"/>
    <n v="6"/>
    <n v="0"/>
    <n v="42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x v="0"/>
    <s v="25 - contrato de prestacion de servicios profesionales"/>
    <s v="FEBRERO"/>
    <n v="10"/>
    <n v="0"/>
    <n v="78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FEBRERO"/>
    <n v="10"/>
    <n v="0"/>
    <n v="5500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FEBRERO"/>
    <n v="6"/>
    <n v="0"/>
    <n v="30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x v="0"/>
    <s v="26 - contrato de prestacion de servicios de apoyo a la gestion"/>
    <s v="ENERO"/>
    <n v="10"/>
    <n v="0"/>
    <n v="400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x v="0"/>
    <s v="25 - contrato de prestacion de servicios profesionales"/>
    <s v="FEBRERO"/>
    <n v="6"/>
    <n v="0"/>
    <n v="30966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0"/>
    <n v="0"/>
    <n v="78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x v="0"/>
    <s v="25 - contrato de prestacion de servicios profesionales"/>
    <s v="ENERO"/>
    <n v="10"/>
    <n v="0"/>
    <n v="745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n v="924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ENERO"/>
    <n v="11"/>
    <n v="0"/>
    <n v="858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ENERO"/>
    <n v="10"/>
    <n v="0"/>
    <n v="5161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x v="0"/>
    <s v="25 - contrato de prestacion de servicios profesionales"/>
    <s v="ENERO"/>
    <n v="10"/>
    <n v="0"/>
    <n v="550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x v="0"/>
    <s v="25 - contrato de prestacion de servicios profesionales"/>
    <s v="ENERO"/>
    <n v="10"/>
    <n v="0"/>
    <n v="750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x v="1"/>
    <s v="03 - contrato de prestacion de servicios"/>
    <s v="MAYO"/>
    <n v="9"/>
    <n v="0"/>
    <n v="21336000"/>
    <s v="NO"/>
    <s v="Dirección Tic"/>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x v="1"/>
    <s v="03 - contrato de prestacion de servicios"/>
    <s v="OCTUBRE"/>
    <n v="6"/>
    <n v="0"/>
    <n v="121002500"/>
    <s v="NO"/>
    <s v="Dirección Tic"/>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x v="1"/>
    <s v="16 - contrato de suministro de servicios"/>
    <s v="JUNIO"/>
    <n v="12"/>
    <n v="0"/>
    <n v="0"/>
    <s v="NO"/>
    <s v="Dirección Tic"/>
    <s v="Paula Ximena Henao Escobar"/>
    <x v="0"/>
    <s v="Subdirector@ de Gestión Corporativa"/>
    <x v="0"/>
    <s v="43212100; 43233400; 4321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x v="1"/>
    <s v="24 - contrato de servicio"/>
    <s v="JUNIO"/>
    <n v="12"/>
    <n v="0"/>
    <n v="47916600"/>
    <s v="NO"/>
    <s v="Dirección Tic"/>
    <s v="Paula Ximena Henao Escobar"/>
    <x v="0"/>
    <s v="Subdirector@ de Gestión Corporativa"/>
    <x v="0"/>
    <s v="43211500, 43211503, 43211507, 43211509, 43211619"/>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x v="1"/>
    <s v="03 - contrato de prestacion de servicios"/>
    <s v="MARZO"/>
    <n v="12"/>
    <n v="0"/>
    <n v="100000000"/>
    <s v="NO"/>
    <s v="Dirección Tic"/>
    <s v="Paula Ximena Henao Escobar"/>
    <x v="0"/>
    <s v="Subdirector@ de Gestión Corporativa"/>
    <x v="0"/>
    <s v="72151607;72103302"/>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x v="1"/>
    <s v="03 - contrato de prestacion de servicios"/>
    <s v="MARZO"/>
    <n v="12"/>
    <n v="0"/>
    <n v="100000000"/>
    <s v="NO"/>
    <s v="Dirección Tic"/>
    <s v="Paula Ximena Henao Escobar"/>
    <x v="0"/>
    <s v="Subdirector@ de Gestión Corporativa"/>
    <x v="0"/>
    <s v="72151500; 72101500; 731521000; 39121600; 39121000; 72151500; 72101500; 731521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x v="1"/>
    <s v="24 - contrato de servicio"/>
    <s v="ENERO"/>
    <n v="12"/>
    <n v="0"/>
    <n v="19444600"/>
    <s v="NO"/>
    <s v="Dirección Tic"/>
    <s v="Paula Ximena Henao Escobar"/>
    <x v="0"/>
    <s v="Subdirector@ de Gestión Corporativa"/>
    <x v="0"/>
    <s v="81112200;81112201"/>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x v="1"/>
    <s v="03 - contrato de prestacion de servicios"/>
    <s v="JUNIO"/>
    <n v="12"/>
    <n v="0"/>
    <n v="229063100"/>
    <s v="NO"/>
    <s v="Dirección Tic"/>
    <s v=" Paula Ximena Henao Escobar "/>
    <x v="0"/>
    <s v="Subdirector@ de Gestión Corporativa"/>
    <x v="0"/>
    <s v="45111700; 45111500; 45111900; 52161500; 43211900;43233400; 72151600; 81111500; 8116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x v="1"/>
    <s v="19 - contrato de renovacion de licencias"/>
    <s v="SEPTIEMBRE"/>
    <n v="12"/>
    <n v="0"/>
    <n v="33670032"/>
    <s v="NO"/>
    <s v="Dirección Tic"/>
    <s v="Paula Ximena Henao Escobar"/>
    <x v="1"/>
    <s v="Subdirector@ de Gestión Corporativa"/>
    <x v="1"/>
    <s v="81112501;43232102;43232103;43231512"/>
    <s v="No aplica"/>
    <s v="No a"/>
    <s v="li"/>
    <s v="NA"/>
    <s v="NA"/>
    <s v="NA"/>
    <s v="N/A"/>
    <s v="N/A"/>
    <s v="N/A-N/A"/>
    <s v="N/A"/>
    <s v="N/A"/>
    <s v="N/A_N/A"/>
    <s v="N/A-N/A N/A_N/A"/>
    <s v="NANANAN/AN/A"/>
    <s v="N/A"/>
    <s v="O21202020080383141 Servicios de diseño y desarrollo de aplicaciones en tecnologías de la información (TI)"/>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x v="1"/>
    <s v="02 - contratos interadministrativos"/>
    <s v="JULIO"/>
    <n v="8"/>
    <n v="0"/>
    <n v="417396955"/>
    <s v="NO"/>
    <s v="Dirección Tic"/>
    <s v="Paula Ximena Henao Escobar"/>
    <x v="1"/>
    <s v="Subdirector@ de Gestión Corporativa"/>
    <x v="1"/>
    <n v="81112100"/>
    <s v="No aplica"/>
    <s v="No a"/>
    <s v="li"/>
    <s v="NA"/>
    <s v="NA"/>
    <s v="NA"/>
    <s v="N/A"/>
    <s v="N/A"/>
    <s v="N/A-N/A"/>
    <s v="N/A"/>
    <s v="N/A"/>
    <s v="N/A_N/A"/>
    <s v="N/A-N/A N/A_N/A"/>
    <s v="NANANAN/AN/A"/>
    <s v="N/A"/>
    <s v="O21202020080484290 Otros servicios de telecomunicaciones vía Internet"/>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x v="1"/>
    <s v="27 - contrato de prestacion de servicios de mantenimiento"/>
    <s v="ABRIL"/>
    <n v="12"/>
    <n v="0"/>
    <n v="87755358"/>
    <s v="NO"/>
    <s v="Dirección Tic"/>
    <s v="Paula Ximena Henao Escobar"/>
    <x v="1"/>
    <s v="Subdirector@ de Gestión Corporativa"/>
    <x v="1"/>
    <s v="81111811;72151600; 43223300;_x000a_39131700"/>
    <s v="No aplica"/>
    <s v="No a"/>
    <s v="li"/>
    <s v="NA"/>
    <s v="NA"/>
    <s v="NA"/>
    <s v="N/A"/>
    <s v="N/A"/>
    <s v="N/A-N/A"/>
    <s v="N/A"/>
    <s v="N/A"/>
    <s v="N/A_N/A"/>
    <s v="N/A-N/A N/A_N/A"/>
    <s v="NANANAN/AN/A"/>
    <s v="N/A"/>
    <s v="O21202020080787130 Servicios de mantenimiento y reparación de computa"/>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x v="1"/>
    <s v="24 - contrato de servicio"/>
    <s v="JUNIO"/>
    <n v="12"/>
    <n v="0"/>
    <n v="100000000"/>
    <s v="NO"/>
    <s v="Dirección Tic"/>
    <s v="Paula Ximena Henao Escobar"/>
    <x v="1"/>
    <s v="Subdirector@ de Gestión Corporativa"/>
    <x v="1"/>
    <s v="43233200; 72151700;  43233200; 81112200; 72151700; 45121600"/>
    <s v="No aplica"/>
    <s v="No a"/>
    <s v="li"/>
    <s v="NA"/>
    <s v="NA"/>
    <s v="NA"/>
    <s v="N/A"/>
    <s v="N/A"/>
    <s v="N/A-N/A"/>
    <s v="N/A"/>
    <s v="N/A"/>
    <s v="N/A_N/A"/>
    <s v="N/A-N/A N/A_N/A"/>
    <s v="NANANAN/AN/A"/>
    <s v="N/A"/>
    <s v="No Aplica"/>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x v="1"/>
    <s v="19 - contrato de renovacion de licencias"/>
    <s v="MARZO"/>
    <n v="12"/>
    <n v="0"/>
    <n v="785000"/>
    <s v="NO"/>
    <s v="Dirección Tic"/>
    <s v="Paula Ximena Henao Escobar"/>
    <x v="1"/>
    <s v="Subdirector@ de Gestión Corporativa"/>
    <x v="1"/>
    <n v="43233205"/>
    <s v="No aplica"/>
    <s v="No a"/>
    <s v="li"/>
    <s v="NA"/>
    <s v="NA"/>
    <s v="NA"/>
    <s v="N/A"/>
    <s v="N/A"/>
    <s v="N/A-N/A"/>
    <s v="N/A"/>
    <s v="N/A"/>
    <s v="N/A_N/A"/>
    <s v="N/A-N/A N/A_N/A"/>
    <s v="NANANAN/AN/A"/>
    <s v="N/A"/>
    <s v="No Aplica"/>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x v="0"/>
    <s v="26 - contrato de prestacion de servicios de apoyo a la gestion"/>
    <s v="ENERO"/>
    <n v="12"/>
    <n v="0"/>
    <n v="45042216"/>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x v="0"/>
    <s v="25 - contrato de prestacion de servicios profesionales"/>
    <s v="ENERO"/>
    <n v="6"/>
    <n v="0"/>
    <n v="390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x v="0"/>
    <s v="26 - contrato de prestacion de servicios de apoyo a la gestion"/>
    <s v="ENERO"/>
    <n v="12"/>
    <n v="0"/>
    <n v="53889792"/>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ENERO"/>
    <n v="11"/>
    <n v="0"/>
    <n v="110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x v="0"/>
    <s v="25 - contrato de prestacion de servicios profesionales"/>
    <s v="ENERO"/>
    <n v="6"/>
    <n v="0"/>
    <n v="42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x v="0"/>
    <s v="25 - contrato de prestacion de servicios profesionales"/>
    <s v="ENERO"/>
    <n v="12"/>
    <n v="0"/>
    <n v="96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x v="0"/>
    <s v="25 - contrato de prestacion de servicios profesionales"/>
    <s v="ENERO"/>
    <n v="12"/>
    <n v="0"/>
    <n v="108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x v="0"/>
    <s v="25 - contrato de prestacion de servicios profesionales"/>
    <s v="ENERO"/>
    <n v="12"/>
    <n v="0"/>
    <n v="900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ENERO"/>
    <n v="8"/>
    <n v="0"/>
    <n v="336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ENERO"/>
    <n v="11"/>
    <n v="0"/>
    <n v="9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ENERO"/>
    <n v="11"/>
    <n v="0"/>
    <n v="88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x v="0"/>
    <s v="25 - contrato de prestacion de servicios profesionales"/>
    <s v="ENERO"/>
    <n v="6"/>
    <n v="0"/>
    <n v="42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x v="0"/>
    <s v="25 - contrato de prestacion de servicios profesionales"/>
    <s v="ENERO"/>
    <n v="12"/>
    <n v="0"/>
    <n v="126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ENERO"/>
    <n v="6"/>
    <n v="0"/>
    <n v="42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ENERO"/>
    <n v="11"/>
    <n v="0"/>
    <n v="101200000"/>
    <s v="NO"/>
    <s v="Oficina Asesora de Planeación"/>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ENERO"/>
    <n v="8"/>
    <n v="0"/>
    <n v="52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ENERO"/>
    <n v="6"/>
    <n v="0"/>
    <n v="3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ENERO"/>
    <n v="6"/>
    <n v="0"/>
    <n v="600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x v="0"/>
    <s v="25 - contrato de prestacion de servicios profesionales"/>
    <s v="ENERO"/>
    <n v="6"/>
    <n v="0"/>
    <n v="402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ENERO"/>
    <n v="6"/>
    <n v="0"/>
    <n v="3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ENERO"/>
    <n v="8"/>
    <n v="0"/>
    <n v="35926528"/>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ENERO"/>
    <n v="8"/>
    <n v="0"/>
    <n v="56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x v="0"/>
    <s v="26 - contrato de prestacion de servicios de apoyo a la gestion"/>
    <s v="ENERO"/>
    <n v="7"/>
    <n v="0"/>
    <n v="4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ENERO"/>
    <n v="7"/>
    <n v="0"/>
    <n v="4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x v="0"/>
    <s v="25 - contrato de prestacion de servicios profesionales"/>
    <s v="FEBRERO"/>
    <n v="10"/>
    <n v="0"/>
    <n v="78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FEBRERO"/>
    <n v="10"/>
    <n v="0"/>
    <n v="85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FEBRERO"/>
    <n v="10"/>
    <n v="0"/>
    <n v="8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7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FEBRERO"/>
    <n v="10"/>
    <n v="0"/>
    <n v="28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x v="0"/>
    <s v="25 - contrato de prestacion de servicios profesionales"/>
    <s v="FEBRERO"/>
    <n v="10"/>
    <n v="0"/>
    <n v="54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x v="0"/>
    <s v="26 - contrato de prestacion de servicios de apoyo a la gestion"/>
    <s v="FEBRERO"/>
    <n v="10"/>
    <n v="0"/>
    <n v="36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x v="0"/>
    <s v="26 - contrato de prestacion de servicios de apoyo a la gestion"/>
    <s v="FEBRERO"/>
    <n v="10"/>
    <n v="0"/>
    <n v="252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x v="0"/>
    <s v="25 - contrato de prestacion de servicios profesionales"/>
    <s v="FEBRERO"/>
    <n v="10"/>
    <n v="0"/>
    <n v="6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x v="0"/>
    <s v="25 - contrato de prestacion de servicios profesionales"/>
    <s v="ENERO"/>
    <n v="11"/>
    <n v="0"/>
    <n v="85157996"/>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x v="0"/>
    <s v="25 - contrato de prestacion de servicios profesionales"/>
    <s v="ENERO"/>
    <n v="11"/>
    <n v="0"/>
    <n v="85157996"/>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x v="0"/>
    <s v="25 - contrato de prestacion de servicios profesionales"/>
    <s v="ENERO"/>
    <n v="11"/>
    <n v="0"/>
    <n v="85157996"/>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x v="0"/>
    <s v="25 - contrato de prestacion de servicios profesionales"/>
    <s v="ENERO"/>
    <n v="11"/>
    <n v="0"/>
    <n v="51423999"/>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x v="0"/>
    <s v="26 - contrato de prestacion de servicios de apoyo a la gestion"/>
    <s v="ENERO"/>
    <n v="11"/>
    <n v="0"/>
    <n v="43101993"/>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x v="0"/>
    <s v="25 - contrato de prestacion de servicios profesionales"/>
    <s v="FEBRERO"/>
    <n v="9"/>
    <n v="0"/>
    <n v="90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x v="0"/>
    <s v="25 - contrato de prestacion de servicios profesionales"/>
    <s v="FEBRERO"/>
    <n v="8"/>
    <n v="0"/>
    <n v="72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67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5 - contrato de prestacion de servicios profesionales"/>
    <s v="FEBRERO"/>
    <n v="8"/>
    <n v="0"/>
    <n v="536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x v="0"/>
    <s v="25 - contrato de prestacion de servicios profesionales"/>
    <s v="FEBRERO"/>
    <n v="9"/>
    <n v="0"/>
    <n v="94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x v="0"/>
    <s v="25 - contrato de prestacion de servicios profesionales"/>
    <s v="FEBRERO"/>
    <n v="8"/>
    <n v="0"/>
    <n v="772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x v="0"/>
    <s v="25 - contrato de prestacion de servicios profesionales"/>
    <s v="FEBRERO"/>
    <n v="8"/>
    <n v="0"/>
    <n v="51984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x v="0"/>
    <s v="25 - contrato de prestacion de servicios profesionales"/>
    <s v="JULIO"/>
    <n v="3"/>
    <n v="0"/>
    <n v="33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x v="0"/>
    <s v="25 - contrato de prestacion de servicios profesionales"/>
    <s v="FEBRERO"/>
    <n v="9"/>
    <n v="0"/>
    <n v="76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6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x v="0"/>
    <s v="25 - contrato de prestacion de servicios profesionales"/>
    <s v="FEBRERO"/>
    <n v="9"/>
    <n v="0"/>
    <n v="72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9"/>
    <n v="0"/>
    <n v="603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x v="0"/>
    <s v="26 - contrato de prestacion de servicios de apoyo a la gestion"/>
    <s v="FEBRERO"/>
    <n v="8"/>
    <n v="0"/>
    <n v="464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x v="0"/>
    <s v="25 - contrato de prestacion de servicios profesionales"/>
    <s v="FEBRERO"/>
    <n v="8"/>
    <n v="0"/>
    <n v="72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x v="0"/>
    <s v="25 - contrato de prestacion de servicios profesionales"/>
    <s v="FEBRERO"/>
    <n v="11"/>
    <n v="0"/>
    <n v="374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x v="0"/>
    <s v="26 - contrato de prestacion de servicios de apoyo a la gestion"/>
    <s v="FEBRERO"/>
    <n v="8"/>
    <n v="0"/>
    <n v="288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x v="0"/>
    <s v="26 - contrato de prestacion de servicios de apoyo a la gestion"/>
    <s v="FEBRERO"/>
    <n v="8"/>
    <n v="0"/>
    <n v="288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x v="0"/>
    <s v="26 - contrato de prestacion de servicios de apoyo a la gestion"/>
    <s v="FEBRERO"/>
    <n v="8"/>
    <n v="0"/>
    <n v="288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x v="0"/>
    <s v="25 - contrato de prestacion de servicios profesionales"/>
    <s v="FEBRERO"/>
    <n v="8"/>
    <n v="0"/>
    <n v="64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x v="0"/>
    <s v="25 - contrato de prestacion de servicios profesionales"/>
    <s v="FEBRERO"/>
    <n v="8"/>
    <n v="0"/>
    <n v="461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x v="0"/>
    <s v="25 - contrato de prestacion de servicios profesionales"/>
    <s v="FEBRERO"/>
    <n v="8"/>
    <n v="0"/>
    <n v="60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x v="0"/>
    <s v="25 - contrato de prestacion de servicios profesionales"/>
    <s v="FEBRERO"/>
    <n v="8"/>
    <n v="0"/>
    <n v="64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x v="0"/>
    <s v="25 - contrato de prestacion de servicios profesionales"/>
    <s v="FEBRERO"/>
    <n v="8"/>
    <n v="0"/>
    <n v="64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x v="0"/>
    <s v="25 - contrato de prestacion de servicios profesionales"/>
    <s v="FEBRERO"/>
    <n v="8"/>
    <n v="0"/>
    <n v="52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x v="0"/>
    <s v="25 - contrato de prestacion de servicios profesionales"/>
    <s v="ENERO"/>
    <n v="8"/>
    <n v="0"/>
    <n v="64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x v="0"/>
    <s v="26 - contrato de prestacion de servicios de apoyo a la gestion"/>
    <s v="ENERO"/>
    <n v="11"/>
    <n v="0"/>
    <n v="462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7"/>
    <n v="0"/>
    <n v="266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x v="0"/>
    <s v="26 - contrato de prestacion de servicios de apoyo a la gestion"/>
    <s v="ENERO"/>
    <n v="11"/>
    <n v="0"/>
    <n v="418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x v="0"/>
    <s v="26 - contrato de prestacion de servicios de apoyo a la gestion"/>
    <s v="ENERO"/>
    <n v="7"/>
    <n v="0"/>
    <n v="287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x v="0"/>
    <s v="25 - contrato de prestacion de servicios profesionales"/>
    <s v="ENERO"/>
    <n v="3"/>
    <n v="15"/>
    <n v="29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x v="0"/>
    <s v="25 - contrato de prestacion de servicios profesionales"/>
    <s v="ENERO"/>
    <n v="5"/>
    <n v="0"/>
    <n v="295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x v="0"/>
    <s v="25 - contrato de prestacion de servicios profesionales"/>
    <s v="ENERO"/>
    <n v="10"/>
    <n v="0"/>
    <n v="67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x v="0"/>
    <s v="26 - contrato de prestacion de servicios de apoyo a la gestion"/>
    <s v="ENERO"/>
    <n v="10"/>
    <n v="0"/>
    <n v="36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x v="0"/>
    <s v="25 - contrato de prestacion de servicios profesionales"/>
    <s v="ENERO"/>
    <n v="7"/>
    <n v="0"/>
    <n v="50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x v="0"/>
    <s v="25 - contrato de prestacion de servicios profesionales"/>
    <s v="ENERO"/>
    <n v="7"/>
    <n v="0"/>
    <n v="50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x v="0"/>
    <s v="25 - contrato de prestacion de servicios profesionales"/>
    <s v="ENERO"/>
    <n v="7"/>
    <n v="0"/>
    <n v="385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x v="0"/>
    <s v="25 - contrato de prestacion de servicios profesionales"/>
    <s v="ENERO"/>
    <n v="10"/>
    <n v="0"/>
    <n v="69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x v="0"/>
    <s v="26 - contrato de prestacion de servicios de apoyo a la gestion"/>
    <s v="ENERO"/>
    <n v="7"/>
    <n v="0"/>
    <n v="287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x v="0"/>
    <s v="25 - contrato de prestacion de servicios profesionales"/>
    <s v="ENERO"/>
    <n v="7"/>
    <n v="0"/>
    <n v="4508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x v="0"/>
    <s v="25 - contrato de prestacion de servicios profesionales"/>
    <s v="ENERO"/>
    <n v="11"/>
    <n v="0"/>
    <n v="539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6 - contrato de prestacion de servicios de apoyo a la gestion"/>
    <s v="ENERO"/>
    <n v="8"/>
    <n v="0"/>
    <n v="32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x v="0"/>
    <s v="25 - contrato de prestacion de servicios profesionales"/>
    <s v="ENERO"/>
    <n v="7"/>
    <n v="0"/>
    <n v="406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x v="0"/>
    <s v="25 - contrato de prestacion de servicios profesionales"/>
    <s v="ENERO"/>
    <n v="11"/>
    <n v="0"/>
    <n v="671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x v="0"/>
    <s v="26 - contrato de prestacion de servicios de apoyo a la gestion"/>
    <s v="ENERO"/>
    <n v="7"/>
    <n v="0"/>
    <n v="28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x v="0"/>
    <s v="25 - contrato de prestacion de servicios profesionales"/>
    <s v="ENERO"/>
    <n v="7"/>
    <n v="0"/>
    <n v="42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x v="0"/>
    <s v="25 - contrato de prestacion de servicios profesionales"/>
    <s v="ENERO"/>
    <n v="7"/>
    <n v="0"/>
    <n v="343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x v="0"/>
    <s v="25 - contrato de prestacion de servicios profesionales"/>
    <s v="ENERO"/>
    <n v="7"/>
    <n v="0"/>
    <n v="36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ENERO"/>
    <n v="11"/>
    <n v="0"/>
    <n v="77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x v="0"/>
    <s v="25 - contrato de prestacion de servicios profesionales"/>
    <s v="ENERO"/>
    <n v="10"/>
    <n v="0"/>
    <n v="64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x v="0"/>
    <s v="25 - contrato de prestacion de servicios profesionales"/>
    <s v="ENERO"/>
    <n v="11"/>
    <n v="0"/>
    <n v="77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x v="0"/>
    <s v="25 - contrato de prestacion de servicios profesionales"/>
    <s v="ENERO"/>
    <n v="10"/>
    <n v="0"/>
    <n v="65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x v="0"/>
    <s v="25 - contrato de prestacion de servicios profesionales"/>
    <s v="ENERO"/>
    <n v="7"/>
    <n v="0"/>
    <n v="518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x v="0"/>
    <s v="25 - contrato de prestacion de servicios profesionales"/>
    <s v="ENERO"/>
    <n v="7"/>
    <n v="0"/>
    <n v="506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x v="0"/>
    <s v="26 - contrato de prestacion de servicios de apoyo a la gestion"/>
    <s v="ENERO"/>
    <n v="7"/>
    <n v="0"/>
    <n v="252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x v="0"/>
    <s v="25 - contrato de prestacion de servicios profesionales"/>
    <s v="ENERO"/>
    <n v="7"/>
    <n v="0"/>
    <n v="413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x v="0"/>
    <s v="25 - contrato de prestacion de servicios profesionales"/>
    <s v="ENERO"/>
    <n v="8"/>
    <n v="0"/>
    <n v="576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x v="0"/>
    <s v="25 - contrato de prestacion de servicios profesionales"/>
    <s v="ENERO"/>
    <n v="5"/>
    <n v="0"/>
    <n v="46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x v="0"/>
    <s v="25 - contrato de prestacion de servicios profesionales"/>
    <s v="ENERO"/>
    <n v="7"/>
    <n v="0"/>
    <n v="50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x v="0"/>
    <s v="25 - contrato de prestacion de servicios profesionales"/>
    <s v="ENERO"/>
    <n v="7"/>
    <n v="0"/>
    <n v="609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x v="0"/>
    <s v="25 - contrato de prestacion de servicios profesionales"/>
    <s v="ENERO"/>
    <n v="7"/>
    <n v="0"/>
    <n v="623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x v="0"/>
    <s v="25 - contrato de prestacion de servicios profesionales"/>
    <s v="ENERO"/>
    <n v="10"/>
    <n v="0"/>
    <n v="83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x v="0"/>
    <s v="25 - contrato de prestacion de servicios profesionales"/>
    <s v="ENERO"/>
    <n v="11"/>
    <n v="0"/>
    <n v="92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x v="0"/>
    <s v="25 - contrato de prestacion de servicios profesionales"/>
    <s v="ENERO"/>
    <n v="8"/>
    <n v="0"/>
    <n v="66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x v="0"/>
    <s v="25 - contrato de prestacion de servicios profesionales"/>
    <s v="ENERO"/>
    <n v="11"/>
    <n v="0"/>
    <n v="605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x v="0"/>
    <s v="25 - contrato de prestacion de servicios profesionales"/>
    <s v="ENERO"/>
    <n v="7"/>
    <n v="0"/>
    <n v="378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x v="0"/>
    <s v="25 - contrato de prestacion de servicios profesionales"/>
    <s v="ENERO"/>
    <n v="7"/>
    <n v="0"/>
    <n v="378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x v="0"/>
    <s v="25 - contrato de prestacion de servicios profesionales"/>
    <s v="ENERO"/>
    <n v="10"/>
    <n v="0"/>
    <n v="8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x v="0"/>
    <s v="25 - contrato de prestacion de servicios profesionales"/>
    <s v="ENERO"/>
    <n v="11"/>
    <n v="0"/>
    <n v="57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x v="0"/>
    <s v="25 - contrato de prestacion de servicios profesionales"/>
    <s v="ENERO"/>
    <n v="10"/>
    <n v="0"/>
    <n v="7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x v="0"/>
    <s v="26 - contrato de prestacion de servicios de apoyo a la gestion"/>
    <s v="ENERO"/>
    <n v="11"/>
    <n v="0"/>
    <n v="40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x v="0"/>
    <s v="25 - contrato de prestacion de servicios profesionales"/>
    <s v="ENERO"/>
    <n v="11"/>
    <n v="0"/>
    <n v="81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x v="0"/>
    <s v="25 - contrato de prestacion de servicios profesionales"/>
    <s v="ENERO"/>
    <n v="11"/>
    <n v="0"/>
    <n v="84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x v="0"/>
    <s v="25 - contrato de prestacion de servicios profesionales"/>
    <s v="ENERO"/>
    <n v="10"/>
    <n v="0"/>
    <n v="55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x v="0"/>
    <s v="26 - contrato de prestacion de servicios de apoyo a la gestion"/>
    <s v="ENERO"/>
    <n v="8"/>
    <n v="0"/>
    <n v="26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x v="0"/>
    <s v="25 - contrato de prestacion de servicios profesionales"/>
    <s v="ENERO"/>
    <n v="11"/>
    <n v="0"/>
    <n v="96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x v="0"/>
    <s v="25 - contrato de prestacion de servicios profesionales"/>
    <s v="ENERO"/>
    <n v="11"/>
    <n v="0"/>
    <n v="935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x v="0"/>
    <s v="25 - contrato de prestacion de servicios profesionales"/>
    <s v="ENERO"/>
    <n v="11"/>
    <n v="0"/>
    <n v="88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x v="0"/>
    <s v="25 - contrato de prestacion de servicios profesionales"/>
    <s v="ENERO"/>
    <n v="11"/>
    <n v="0"/>
    <n v="114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6"/>
    <s v="SGH - Garantizar los recursos para movilización efectiva del personal operativo en la atención de emergencias"/>
    <s v="91 - n/a acto administrativo (resolución, decreto, acuerdo, etc.)"/>
    <x v="1"/>
    <s v="03 - contrato de prestacion de servicios"/>
    <s v="FEBRERO"/>
    <n v="11"/>
    <n v="0"/>
    <n v="470000000"/>
    <s v="NO"/>
    <s v="Sub. Gestión Humana"/>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6-BS-8173-9--SGH - Garantizar los recursos para movilización efectiva del personal operativo en la atención de emergencias"/>
  </r>
  <r>
    <n v="20260187"/>
    <s v="SGH - Garantizar los recursos para viáticos y adquisición de tiquetes, con el fin de permitir el desplazamiento del personal en desarrollo de actividades misionales, operativas o de capacitación  "/>
    <s v="91 - n/a acto administrativo (resolución, decreto, acuerdo, etc.)"/>
    <x v="1"/>
    <s v="03 - contrato de prestacion de servicios"/>
    <s v="FEBRERO"/>
    <n v="11"/>
    <n v="0"/>
    <n v="290000000"/>
    <s v="NO"/>
    <s v="Sub. Gestión Humana"/>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x v="1"/>
    <s v="06 - contrato de compraventa"/>
    <s v="SEPTIEMBRE"/>
    <n v="4"/>
    <n v="0"/>
    <n v="120413745"/>
    <s v="NO"/>
    <s v="Sub. Gestión Humana"/>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1010030202 Máquinas herramientas y sus partes, piezas y accesorios"/>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x v="1"/>
    <s v="03 - contrato de prestacion de servicios"/>
    <s v="AGOSTO"/>
    <n v="6"/>
    <n v="0"/>
    <n v="182514000"/>
    <s v="NO"/>
    <s v="Sub. Gestión Humana"/>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x v="1"/>
    <s v="06 - contrato de compraventa"/>
    <s v="MARZO"/>
    <n v="4"/>
    <n v="0"/>
    <n v="32126000"/>
    <s v="NO"/>
    <s v="Sub. Gestión Humana"/>
    <s v="Jose Andres Ponce Caicedo"/>
    <x v="2"/>
    <s v="Subdirector@ de Gestión del Riesgo"/>
    <x v="0"/>
    <n v="5510151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1003023229906 Libros publicados en fascículos, folletos, hojas sueltas e impresos similares"/>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x v="1"/>
    <s v="03 - contrato de prestacion de servicios"/>
    <s v="AGOSTO"/>
    <n v="6"/>
    <n v="0"/>
    <n v="509200000"/>
    <s v="NO"/>
    <s v="Sub. Gestión Humana"/>
    <s v="Jose Andres Ponce Caicedo"/>
    <x v="1"/>
    <s v="Subdirector@ de Gestión Corporativa"/>
    <x v="1"/>
    <s v="85121503;85121603;85121604;85121608;85121610;85121611;85121612;85121702;85122201"/>
    <s v="No aplica"/>
    <s v="No a"/>
    <s v="li"/>
    <s v="NA"/>
    <s v="NA"/>
    <s v="NA"/>
    <s v="N/A"/>
    <s v="N/A"/>
    <s v="N/A-N/A"/>
    <s v="N/A"/>
    <s v="N/A"/>
    <s v="N/A_N/A"/>
    <s v="N/A-N/A N/A_N/A"/>
    <s v="NANANAN/AN/A"/>
    <s v="N/A"/>
    <s v="No Aplica"/>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x v="1"/>
    <s v="03 - contrato de prestacion de servicios"/>
    <s v="ENERO"/>
    <n v="10"/>
    <n v="0"/>
    <n v="1620000000"/>
    <s v="NO"/>
    <s v="Sub. Gestión Humana"/>
    <s v="Jose Andres Ponce Caicedo"/>
    <x v="1"/>
    <s v="Subdirector@ de Gestión Corporativa"/>
    <x v="1"/>
    <s v="90101600;90111600;90141700;90151700"/>
    <s v="No aplica"/>
    <s v="No a"/>
    <s v="li"/>
    <s v="NA"/>
    <s v="NA"/>
    <s v="NA"/>
    <s v="N/A"/>
    <s v="N/A"/>
    <s v="N/A-N/A"/>
    <s v="N/A"/>
    <s v="N/A"/>
    <s v="N/A_N/A"/>
    <s v="N/A-N/A N/A_N/A"/>
    <s v="NANANAN/AN/A"/>
    <s v="N/A"/>
    <s v="No Aplica"/>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x v="1"/>
    <s v="06 - contrato de compraventa"/>
    <s v="OCTUBRE"/>
    <n v="4"/>
    <n v="0"/>
    <n v="50920000"/>
    <s v="NO"/>
    <s v="Sub. Gestión Humana"/>
    <s v="Jose Andres Ponce Caicedo"/>
    <x v="1"/>
    <s v="Subdirector@ de Gestión Corporativa"/>
    <x v="1"/>
    <s v="46181900;46181901"/>
    <s v="No aplica"/>
    <s v="No a"/>
    <s v="li"/>
    <s v="NA"/>
    <s v="NA"/>
    <s v="NA"/>
    <s v="N/A"/>
    <s v="N/A"/>
    <s v="N/A-N/A"/>
    <s v="N/A"/>
    <s v="N/A"/>
    <s v="N/A_N/A"/>
    <s v="N/A-N/A N/A_N/A"/>
    <s v="NANANAN/AN/A"/>
    <s v="N/A"/>
    <s v="No Aplica"/>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x v="1"/>
    <s v="17 - contrato de mantenimiento"/>
    <s v="ENERO"/>
    <n v="12"/>
    <n v="0"/>
    <n v="6689476699"/>
    <s v="SI"/>
    <s v="Sub. Logística"/>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x v="1"/>
    <s v="08 - contrato de suministro"/>
    <s v="JULIO"/>
    <n v="12"/>
    <n v="0"/>
    <n v="83151000"/>
    <s v="NO"/>
    <s v="Sub. Logística"/>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x v="0"/>
    <s v="25 - contrato de prestacion de servicios profesionales"/>
    <s v="ENERO"/>
    <n v="10"/>
    <n v="0"/>
    <n v="9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2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x v="0"/>
    <s v="25 - contrato de prestacion de servicios profesionales"/>
    <s v="ENERO"/>
    <n v="8"/>
    <n v="0"/>
    <n v="64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ENERO"/>
    <n v="5"/>
    <n v="0"/>
    <n v="3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x v="0"/>
    <s v="25 - contrato de prestacion de servicios profesionales"/>
    <s v="ENERO"/>
    <n v="9"/>
    <n v="0"/>
    <n v="72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ENERO"/>
    <n v="9"/>
    <n v="0"/>
    <n v="35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x v="0"/>
    <s v="25 - contrato de prestacion de servicios profesionales"/>
    <s v="ENERO"/>
    <n v="11"/>
    <n v="0"/>
    <n v="10992444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x v="0"/>
    <s v="25 - contrato de prestacion de servicios profesionales"/>
    <s v="ENERO"/>
    <n v="9"/>
    <n v="0"/>
    <n v="36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x v="0"/>
    <s v="25 - contrato de prestacion de servicios profesionales"/>
    <s v="ENERO"/>
    <n v="7"/>
    <n v="15"/>
    <n v="45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x v="0"/>
    <s v="26 - contrato de prestacion de servicios de apoyo a la gestion"/>
    <s v="ENERO"/>
    <n v="7"/>
    <n v="15"/>
    <n v="28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x v="0"/>
    <s v="25 - contrato de prestacion de servicios profesionales"/>
    <s v="ENERO"/>
    <n v="10"/>
    <n v="0"/>
    <n v="612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10"/>
    <n v="0"/>
    <n v="837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ENERO"/>
    <n v="9"/>
    <n v="0"/>
    <n v="64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ENERO"/>
    <n v="7"/>
    <n v="0"/>
    <n v="525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ENERO"/>
    <n v="10"/>
    <n v="0"/>
    <n v="64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x v="0"/>
    <s v="25 - contrato de prestacion de servicios profesionales"/>
    <s v="ENERO"/>
    <n v="9"/>
    <n v="0"/>
    <n v="315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x v="0"/>
    <s v="26 - contrato de prestacion de servicios de apoyo a la gestion"/>
    <s v="ENERO"/>
    <n v="5"/>
    <n v="0"/>
    <n v="16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ENERO"/>
    <n v="8"/>
    <n v="0"/>
    <n v="28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x v="0"/>
    <s v="26 - contrato de prestacion de servicios de apoyo a la gestion"/>
    <s v="ENERO"/>
    <n v="9"/>
    <n v="0"/>
    <n v="28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x v="0"/>
    <s v="25 - contrato de prestacion de servicios profesionales"/>
    <s v="ENERO"/>
    <n v="11"/>
    <n v="0"/>
    <n v="9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x v="0"/>
    <s v="26 - contrato de prestacion de servicios de apoyo a la gestion"/>
    <s v="ENERO"/>
    <n v="4"/>
    <n v="0"/>
    <n v="1312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x v="0"/>
    <s v="25 - contrato de prestacion de servicios profesionales"/>
    <s v="AGOSTO"/>
    <n v="8"/>
    <n v="0"/>
    <n v="22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x v="0"/>
    <s v="26 - contrato de prestacion de servicios de apoyo a la gestion"/>
    <s v="ENERO"/>
    <n v="5"/>
    <n v="0"/>
    <n v="17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x v="0"/>
    <s v="26 - contrato de prestacion de servicios de apoyo a la gestion"/>
    <s v="ENERO"/>
    <n v="8"/>
    <n v="0"/>
    <n v="24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x v="0"/>
    <s v="25 - contrato de prestacion de servicios profesionales"/>
    <s v="ENERO"/>
    <n v="10"/>
    <n v="0"/>
    <n v="49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x v="0"/>
    <s v="25 - contrato de prestacion de servicios profesionales"/>
    <s v="ENERO"/>
    <n v="6"/>
    <n v="0"/>
    <n v="33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x v="0"/>
    <s v="25 - contrato de prestacion de servicios profesionales"/>
    <s v="ENERO"/>
    <n v="9"/>
    <n v="0"/>
    <n v="4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x v="0"/>
    <s v="26 - contrato de prestacion de servicios de apoyo a la gestion"/>
    <s v="ENERO"/>
    <n v="9"/>
    <n v="0"/>
    <n v="22995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2296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71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x v="0"/>
    <s v="26 - contrato de prestacion de servicios de apoyo a la gestion"/>
    <s v="ENERO"/>
    <n v="10"/>
    <n v="0"/>
    <n v="1968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x v="0"/>
    <s v="26 - contrato de prestacion de servicios de apoyo a la gestion"/>
    <s v="ENERO"/>
    <n v="8"/>
    <n v="0"/>
    <n v="2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x v="0"/>
    <s v="25 - contrato de prestacion de servicios profesionales"/>
    <s v="ENERO"/>
    <n v="9"/>
    <n v="0"/>
    <n v="81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ENERO"/>
    <n v="6"/>
    <n v="0"/>
    <n v="216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ENERO"/>
    <n v="6"/>
    <n v="0"/>
    <n v="33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ENERO"/>
    <n v="8"/>
    <n v="0"/>
    <n v="52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x v="0"/>
    <s v="25 - contrato de prestacion de servicios profesionales"/>
    <s v="ENERO"/>
    <n v="10"/>
    <n v="0"/>
    <n v="90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10"/>
    <n v="0"/>
    <n v="32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9"/>
    <n v="0"/>
    <n v="28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6"/>
    <n v="0"/>
    <n v="42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x v="0"/>
    <s v="26 - contrato de prestacion de servicios de apoyo a la gestion"/>
    <s v="ENERO"/>
    <n v="9"/>
    <n v="0"/>
    <n v="28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ENERO"/>
    <n v="9"/>
    <n v="0"/>
    <n v="44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ENERO"/>
    <n v="7"/>
    <n v="0"/>
    <n v="252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ENERO"/>
    <n v="7"/>
    <n v="15"/>
    <n v="6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x v="0"/>
    <s v="25 - contrato de prestacion de servicios profesionales"/>
    <s v="ENERO"/>
    <n v="7"/>
    <n v="0"/>
    <n v="31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ENERO"/>
    <n v="8"/>
    <n v="0"/>
    <n v="36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x v="1"/>
    <s v="08 - contrato de suministro"/>
    <s v="MARZO"/>
    <n v="10"/>
    <n v="0"/>
    <n v="111000000"/>
    <s v="NO"/>
    <s v="Sub. Logística"/>
    <s v="Omer Mauricio Rivera Ruiz"/>
    <x v="2"/>
    <s v="Subdirector@ de Gestión del Riesgo"/>
    <x v="1"/>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2 - selec. abrev. menor cuantía"/>
    <x v="1"/>
    <s v="03 - contrato de prestacion de servicios"/>
    <s v="JULIO"/>
    <n v="10"/>
    <n v="0"/>
    <n v="125000000"/>
    <s v="NO"/>
    <s v="Sub. Logística"/>
    <s v="Omer Mauricio Rivera Ruiz"/>
    <x v="2"/>
    <s v="Subdirector@ de Gestión del Riesgo"/>
    <x v="0"/>
    <s v="31261500; 31161500; 31161600; 31162300; 31162800; 31171500; 31171700; 39121600; 27121600;72101509; 26101700: 26101900; 15121500; 72101517; 72151511; 72154105 72154302; 73152108; 73152112"/>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x v="1"/>
    <s v="08 - contrato de suministro"/>
    <s v="JUNIO"/>
    <n v="8"/>
    <n v="0"/>
    <n v="48500000"/>
    <s v="NO"/>
    <s v="Sub. Logística"/>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x v="1"/>
    <s v="08 - contrato de suministro"/>
    <s v="MAYO"/>
    <n v="8"/>
    <n v="0"/>
    <n v="48000000"/>
    <s v="NO"/>
    <s v="Sub. Logística"/>
    <s v="Omer Mauricio Rivera Ruiz"/>
    <x v="2"/>
    <s v="Subdirector@ de Gestión del Riesgo"/>
    <x v="0"/>
    <s v="42141501;42141502;42141503;42142101;42142103;42142105;42142108;42172010;42172013;42172016;42172201;42281502;42291902"/>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2092929012 Partes y accesorios para artículos de protección personal"/>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x v="1"/>
    <s v="08 - contrato de suministro"/>
    <s v="MAYO"/>
    <n v="8"/>
    <n v="0"/>
    <n v="99000000"/>
    <s v="NO"/>
    <s v="Sub. Logística"/>
    <s v="Omer Mauricio Rivera Ruiz"/>
    <x v="2"/>
    <s v="Subdirector@ de Gestión del Riesgo"/>
    <x v="1"/>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x v="1"/>
    <s v="03 - contrato de prestacion de servicios"/>
    <s v="JULIO"/>
    <n v="8"/>
    <n v="0"/>
    <n v="14134560"/>
    <s v="NO"/>
    <s v="Sub. Logística"/>
    <s v="Omer Mauricio Rivera Ruiz"/>
    <x v="2"/>
    <s v="Subdirector@ de Gestión del Riesgo"/>
    <x v="0"/>
    <s v="70122002; 70122005; 70122006; 70122007; 70122008; 70122009; 70122010; 10110000; 42120000;70122001."/>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x v="1"/>
    <s v="27 - contrato de prestacion de servicios de mantenimiento"/>
    <s v="JULIO"/>
    <n v="8"/>
    <n v="0"/>
    <n v="80000000"/>
    <s v="NO"/>
    <s v="Sub. Logística"/>
    <s v="Omer Mauricio Rivera Ruiz"/>
    <x v="2"/>
    <s v="Subdirector@ de Gestión del Riesgo"/>
    <x v="0"/>
    <s v="72154101, 40151601, 8110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5602 Servicio de mantenimiento y reparación de equipos de fuerza hidráulica y de potencia neumática, bombas, compresores y válvulas"/>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x v="1"/>
    <s v="03 - contrato de prestacion de servicios"/>
    <s v="MAYO"/>
    <n v="8"/>
    <n v="0"/>
    <n v="3419000"/>
    <s v="NO"/>
    <s v="Sub. Logística"/>
    <s v="Omer Mauricio Rivera Ruiz"/>
    <x v="2"/>
    <s v="Subdirector@ de Gestión del Riesgo"/>
    <x v="1"/>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x v="1"/>
    <s v="03 - contrato de prestacion de servicios"/>
    <s v="AGOSTO"/>
    <n v="8"/>
    <n v="0"/>
    <n v="40000000"/>
    <s v="NO"/>
    <s v="Sub. Logística"/>
    <s v="Omer Mauricio Rivera Ruiz"/>
    <x v="2"/>
    <s v="Subdirector@ de Gestión del Riesgo"/>
    <x v="0"/>
    <s v="46161600;72101509;73152108;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x v="1"/>
    <s v="08 - contrato de suministro"/>
    <s v="SEPTIEMBRE"/>
    <n v="5"/>
    <n v="0"/>
    <n v="0"/>
    <s v="NO"/>
    <s v="Sub. Logística"/>
    <s v="Omer Mauricio Rivera Ruiz"/>
    <x v="2"/>
    <s v="Subdirector@ de Gestión del Riesgo"/>
    <x v="0"/>
    <s v="23191200; 23153100; 23271800; 26121600; 27131600; 26101700; 31162800; 31163000; 31163100; 31171500; 31171700; 31191500; 31201600; 40141700; 31121700; 261117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3-BS-8173-4--Suministrar los repuestos, accesorios e insumos de los equipos de rescate vehicular liviano y pesado marca LUKAS-  SBLG"/>
  </r>
  <r>
    <n v="20260254"/>
    <s v="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s v="09 - contratación directa"/>
    <x v="1"/>
    <s v="27 - contrato de prestacion de servicios de mantenimiento"/>
    <s v="SEPTIEMBRE"/>
    <n v="6"/>
    <n v="0"/>
    <n v="48000000"/>
    <s v="NO"/>
    <s v="Sub. Logística"/>
    <s v="Omer Mauricio Rivera Ruiz"/>
    <x v="2"/>
    <s v="Subdirector@ de Gestión del Riesgo"/>
    <x v="0"/>
    <s v="46182005; 46171613; 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4-BS-8173-4--Adicion y Prorroga contrato 532-2025 cuyo objeto es: &quot;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quot;"/>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MARZO"/>
    <n v="4"/>
    <n v="0"/>
    <n v="26104301"/>
    <s v="NO"/>
    <s v="Sub. Logística"/>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x v="1"/>
    <s v="03 - contrato de prestacion de servicios"/>
    <s v="AGOSTO"/>
    <n v="5"/>
    <n v="0"/>
    <n v="50000000"/>
    <s v="NO"/>
    <s v="Sub. Logística"/>
    <s v="Omer Mauricio Rivera Ruiz"/>
    <x v="2"/>
    <s v="Subdirector@ de Gestión del Riesgo"/>
    <x v="0"/>
    <s v="72101509;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x v="1"/>
    <s v="03 - contrato de prestacion de servicios"/>
    <s v="MAYO"/>
    <n v="12"/>
    <n v="0"/>
    <n v="47720273"/>
    <s v="NO"/>
    <s v="Sub. Logística"/>
    <s v="Omer Mauricio Rivera Ruiz"/>
    <x v="1"/>
    <s v="Subdirector@ de Gestión Corporativa"/>
    <x v="1"/>
    <n v="78181505"/>
    <s v="No aplica"/>
    <s v="No a"/>
    <s v="li"/>
    <s v="NA"/>
    <s v="NA"/>
    <s v="NA"/>
    <s v="N/A"/>
    <s v="N/A"/>
    <s v="N/A-N/A"/>
    <s v="N/A"/>
    <s v="N/A"/>
    <s v="N/A_N/A"/>
    <s v="N/A-N/A N/A_N/A"/>
    <s v="NANANAN/AN/A"/>
    <s v="N/A"/>
    <s v="No Aplica"/>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10"/>
    <n v="0"/>
    <n v="3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x v="0"/>
    <s v="26 - contrato de prestacion de servicios de apoyo a la gestion"/>
    <s v="ENERO"/>
    <n v="9"/>
    <n v="0"/>
    <n v="2691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x v="0"/>
    <s v="26 - contrato de prestacion de servicios de apoyo a la gestion"/>
    <s v="ENERO"/>
    <n v="9"/>
    <n v="0"/>
    <n v="29558952"/>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x v="0"/>
    <s v="25 - contrato de prestacion de servicios profesionales"/>
    <s v="ENERO"/>
    <n v="9"/>
    <n v="0"/>
    <n v="45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3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x v="0"/>
    <s v="26 - contrato de prestacion de servicios de apoyo a la gestion"/>
    <s v="ENERO"/>
    <n v="9"/>
    <n v="0"/>
    <n v="33178419"/>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x v="0"/>
    <s v="26 - contrato de prestacion de servicios de apoyo a la gestion"/>
    <s v="ENERO"/>
    <n v="3"/>
    <n v="15"/>
    <n v="154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x v="0"/>
    <s v="25 - contrato de prestacion de servicios profesionales"/>
    <s v="ENERO"/>
    <n v="5"/>
    <n v="15"/>
    <n v="522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x v="0"/>
    <s v="25 - contrato de prestacion de servicios profesionales"/>
    <s v="ENERO"/>
    <n v="10"/>
    <n v="0"/>
    <n v="80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ENERO"/>
    <n v="10"/>
    <n v="0"/>
    <n v="49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x v="0"/>
    <s v="25 - contrato de prestacion de servicios profesionales"/>
    <s v="ENERO"/>
    <n v="7"/>
    <n v="0"/>
    <n v="47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x v="0"/>
    <s v="25 - contrato de prestacion de servicios profesionales"/>
    <s v="JUNIO"/>
    <n v="7"/>
    <n v="15"/>
    <n v="54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x v="0"/>
    <s v="25 - contrato de prestacion de servicios profesionales"/>
    <s v="ENERO"/>
    <n v="8"/>
    <n v="0"/>
    <n v="412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x v="0"/>
    <s v="25 - contrato de prestacion de servicios profesionales"/>
    <s v="ENERO"/>
    <n v="10"/>
    <n v="0"/>
    <n v="64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ENERO"/>
    <n v="8"/>
    <n v="0"/>
    <n v="65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x v="0"/>
    <s v="25 - contrato de prestacion de servicios profesionales"/>
    <s v="ENERO"/>
    <n v="10"/>
    <n v="0"/>
    <n v="97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ENERO"/>
    <n v="10"/>
    <n v="0"/>
    <n v="72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x v="0"/>
    <s v="25 - contrato de prestacion de servicios profesionales"/>
    <s v="ENERO"/>
    <n v="5"/>
    <n v="0"/>
    <n v="32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x v="0"/>
    <s v="25 - contrato de prestacion de servicios profesionales"/>
    <s v="ENERO"/>
    <n v="4"/>
    <n v="15"/>
    <n v="427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x v="0"/>
    <s v="25 - contrato de prestacion de servicios profesionales"/>
    <s v="ENERO"/>
    <n v="4"/>
    <n v="15"/>
    <n v="427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x v="0"/>
    <s v="25 - contrato de prestacion de servicios profesionales"/>
    <s v="ENERO"/>
    <n v="3"/>
    <n v="0"/>
    <n v="28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x v="0"/>
    <s v="25 - contrato de prestacion de servicios profesionales"/>
    <s v="ENERO"/>
    <n v="8"/>
    <n v="0"/>
    <n v="72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x v="0"/>
    <s v="25 - contrato de prestacion de servicios profesionales"/>
    <s v="ENERO"/>
    <n v="10"/>
    <n v="0"/>
    <n v="97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x v="0"/>
    <s v="25 - contrato de prestacion de servicios profesionales"/>
    <s v="ENERO"/>
    <n v="8"/>
    <n v="0"/>
    <n v="37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x v="0"/>
    <s v="25 - contrato de prestacion de servicios profesionales"/>
    <s v="ENERO"/>
    <n v="5"/>
    <n v="4"/>
    <n v="49793333"/>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x v="0"/>
    <s v="25 - contrato de prestacion de servicios profesionales"/>
    <s v="ENERO"/>
    <n v="8"/>
    <n v="0"/>
    <n v="44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x v="0"/>
    <s v="25 - contrato de prestacion de servicios profesionales"/>
    <s v="ENERO"/>
    <n v="9"/>
    <n v="0"/>
    <n v="297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ENERO"/>
    <n v="10"/>
    <n v="0"/>
    <n v="67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x v="0"/>
    <s v="25 - contrato de prestacion de servicios profesionales"/>
    <s v="ENERO"/>
    <n v="10"/>
    <n v="0"/>
    <n v="66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x v="0"/>
    <s v="25 - contrato de prestacion de servicios profesionales"/>
    <s v="ENERO"/>
    <n v="4"/>
    <n v="15"/>
    <n v="292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x v="0"/>
    <s v="25 - contrato de prestacion de servicios profesionales"/>
    <s v="ENERO"/>
    <n v="4"/>
    <n v="15"/>
    <n v="31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x v="0"/>
    <s v="25 - contrato de prestacion de servicios profesionales"/>
    <s v="ENERO"/>
    <n v="8"/>
    <n v="0"/>
    <n v="57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x v="0"/>
    <s v="25 - contrato de prestacion de servicios profesionales"/>
    <s v="ENERO"/>
    <n v="4"/>
    <n v="15"/>
    <n v="31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x v="0"/>
    <s v="25 - contrato de prestacion de servicios profesionales"/>
    <s v="ENERO"/>
    <n v="5"/>
    <n v="0"/>
    <n v="40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67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x v="0"/>
    <s v="25 - contrato de prestacion de servicios profesionales"/>
    <s v="ENERO"/>
    <n v="5"/>
    <n v="0"/>
    <n v="47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x v="0"/>
    <s v="25 - contrato de prestacion de servicios profesionales"/>
    <s v="ENERO"/>
    <n v="5"/>
    <n v="0"/>
    <n v="35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x v="0"/>
    <s v="25 - contrato de prestacion de servicios profesionales"/>
    <s v="ENERO"/>
    <n v="9"/>
    <n v="0"/>
    <n v="774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x v="1"/>
    <s v="12 - resolucion"/>
    <s v="ENERO"/>
    <n v="12"/>
    <n v="0"/>
    <n v="6914369000"/>
    <s v="NO"/>
    <s v="Sub. Operativa"/>
    <s v="Yenire Yohansy Lozano Ascanio"/>
    <x v="2"/>
    <s v="Subdirector@ de Gestión del Riesgo"/>
    <x v="2"/>
    <n v="80111600"/>
    <s v="8173 3-Desarrollar un programa de renovación de vehículos de la Unidad Administrativa Cuerpo Oficial de Bomberos de Bogotá."/>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1010030208 Otra maquinaria para usos especiales y sus partes y piezas"/>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12"/>
    <n v="0"/>
    <n v="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1002092929012 Partes y accesorios para artículos de protección personal"/>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x v="0"/>
    <s v="26 - contrato de prestacion de servicios de apoyo a la gestion"/>
    <s v="JULIO"/>
    <n v="5"/>
    <n v="0"/>
    <n v="2245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x v="0"/>
    <s v="25 - contrato de prestacion de servicios profesionales"/>
    <s v="JULIO"/>
    <n v="6"/>
    <n v="15"/>
    <n v="6305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x v="0"/>
    <s v="25 - contrato de prestacion de servicios profesionales"/>
    <s v="JULIO"/>
    <n v="4"/>
    <n v="0"/>
    <n v="264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x v="0"/>
    <s v="25 - contrato de prestacion de servicios profesionales"/>
    <s v="JUNIO"/>
    <n v="6"/>
    <n v="15"/>
    <n v="630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x v="0"/>
    <s v="25 - contrato de prestacion de servicios profesionales"/>
    <s v="JULIO"/>
    <n v="6"/>
    <n v="15"/>
    <n v="6435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x v="0"/>
    <s v="25 - contrato de prestacion de servicios profesionales"/>
    <s v="JULIO"/>
    <n v="6"/>
    <n v="15"/>
    <n v="6435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x v="0"/>
    <s v="25 - contrato de prestacion de servicios profesionales"/>
    <s v="JULIO"/>
    <n v="6"/>
    <n v="0"/>
    <n v="4104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x v="0"/>
    <s v="25 - contrato de prestacion de servicios profesionales"/>
    <s v="JULIO"/>
    <n v="6"/>
    <n v="0"/>
    <n v="432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x v="0"/>
    <s v="25 - contrato de prestacion de servicios profesionales"/>
    <s v="JUNIO"/>
    <n v="6"/>
    <n v="15"/>
    <n v="552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x v="0"/>
    <s v="25 - contrato de prestacion de servicios profesionales"/>
    <s v="JUNIO"/>
    <n v="6"/>
    <n v="15"/>
    <n v="14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x v="0"/>
    <s v="26 - contrato de prestacion de servicios de apoyo a la gestion"/>
    <s v="JULIO"/>
    <n v="6"/>
    <n v="0"/>
    <n v="189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x v="1"/>
    <s v="06 - contrato de compraventa"/>
    <s v="JULIO"/>
    <n v="6"/>
    <n v="0"/>
    <n v="1744500000"/>
    <s v="NO"/>
    <s v="Sub. Operativa"/>
    <s v="Yenire Yohansy Lozano Ascanio"/>
    <x v="1"/>
    <s v="Subdirector@ de Gestión Corporativa"/>
    <x v="1"/>
    <s v="53102710;_x000a_53101900;_x000a_53101800"/>
    <s v="No aplica"/>
    <s v="No a"/>
    <s v="li"/>
    <s v="NA"/>
    <s v="NA"/>
    <s v="NA"/>
    <s v="N/A"/>
    <s v="N/A"/>
    <s v="N/A-N/A"/>
    <s v="N/A"/>
    <s v="N/A"/>
    <s v="N/A_N/A"/>
    <s v="N/A-N/A N/A_N/A"/>
    <s v="NANANAN/AN/A"/>
    <s v="N/A"/>
    <s v="O2120201002082823609    Uniformes de trabajo"/>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x v="0"/>
    <s v="25 - contrato de prestacion de servicios profesionales"/>
    <s v="JUNIO"/>
    <n v="6"/>
    <n v="15"/>
    <n v="46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x v="0"/>
    <s v="26 - contrato de prestacion de servicios de apoyo a la gestion"/>
    <s v="ENERO"/>
    <n v="10"/>
    <n v="0"/>
    <n v="375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x v="0"/>
    <s v="25 - contrato de prestacion de servicios profesionales"/>
    <s v="ENERO"/>
    <n v="10"/>
    <n v="0"/>
    <n v="56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x v="0"/>
    <s v="25 - contrato de prestacion de servicios profesionales"/>
    <s v="ENERO"/>
    <n v="8"/>
    <n v="0"/>
    <n v="35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x v="0"/>
    <s v="26 - contrato de prestacion de servicios de apoyo a la gestion"/>
    <s v="ENERO"/>
    <n v="8"/>
    <n v="0"/>
    <n v="2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x v="0"/>
    <s v="25 - contrato de prestacion de servicios profesionales"/>
    <s v="ENERO"/>
    <n v="7"/>
    <n v="15"/>
    <n v="49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10"/>
    <n v="0"/>
    <n v="7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x v="0"/>
    <s v="25 - contrato de prestacion de servicios profesionales"/>
    <s v="ENERO"/>
    <n v="10"/>
    <n v="0"/>
    <n v="7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x v="0"/>
    <s v="25 - contrato de prestacion de servicios profesionales"/>
    <s v="ENERO"/>
    <n v="8"/>
    <n v="0"/>
    <n v="728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x v="0"/>
    <s v="25 - contrato de prestacion de servicios profesionales"/>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x v="0"/>
    <s v="25 - contrato de prestacion de servicios profesionales"/>
    <s v="ENERO"/>
    <n v="9"/>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x v="0"/>
    <s v="25 - contrato de prestacion de servicios profesionales"/>
    <s v="ENERO"/>
    <n v="8"/>
    <n v="0"/>
    <n v="4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x v="0"/>
    <s v="25 - contrato de prestacion de servicios profesionales"/>
    <s v="ENERO"/>
    <n v="8"/>
    <n v="0"/>
    <n v="4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x v="0"/>
    <s v="25 - contrato de prestacion de servicios profesionales"/>
    <s v="ENERO"/>
    <n v="8"/>
    <n v="0"/>
    <n v="4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x v="0"/>
    <s v="25 - contrato de prestacion de servicios profesionales"/>
    <s v="ENERO"/>
    <n v="10"/>
    <n v="0"/>
    <n v="7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x v="0"/>
    <s v="25 - contrato de prestacion de servicios profesionales"/>
    <s v="ENERO"/>
    <n v="10"/>
    <n v="0"/>
    <n v="7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49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4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x v="0"/>
    <s v="26 - contrato de prestacion de servicios de apoyo a la gestion"/>
    <s v="ENERO"/>
    <n v="10"/>
    <n v="0"/>
    <n v="2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ENERO"/>
    <n v="7"/>
    <n v="0"/>
    <n v="49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x v="0"/>
    <s v="25 - contrato de prestacion de servicios profesionales"/>
    <s v="ENERO"/>
    <n v="10"/>
    <n v="0"/>
    <n v="44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x v="0"/>
    <s v="25 - contrato de prestacion de servicios profesionales"/>
    <s v="ENERO"/>
    <n v="10"/>
    <n v="0"/>
    <n v="4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x v="0"/>
    <s v="25 - contrato de prestacion de servicios profesionales"/>
    <s v="ENERO"/>
    <n v="10"/>
    <n v="0"/>
    <n v="4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x v="0"/>
    <s v="25 - contrato de prestacion de servicios profesionales"/>
    <s v="ENERO"/>
    <n v="10"/>
    <n v="0"/>
    <n v="4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x v="0"/>
    <s v="25 - contrato de prestacion de servicios profesionales"/>
    <s v="ENERO"/>
    <n v="10"/>
    <n v="0"/>
    <n v="3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x v="0"/>
    <s v="25 - contrato de prestacion de servicios profesionales"/>
    <s v="ENERO"/>
    <n v="10"/>
    <n v="0"/>
    <n v="3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x v="0"/>
    <s v="25 - contrato de prestacion de servicios profesionales"/>
    <s v="ENERO"/>
    <n v="10"/>
    <n v="0"/>
    <n v="304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x v="0"/>
    <s v="25 - contrato de prestacion de servicios profesionales"/>
    <s v="ENERO"/>
    <n v="8"/>
    <n v="0"/>
    <n v="63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x v="0"/>
    <s v="25 - contrato de prestacion de servicios profesionales"/>
    <s v="ENERO"/>
    <n v="10"/>
    <n v="0"/>
    <n v="49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x v="0"/>
    <s v="25 - contrato de prestacion de servicios profesionales"/>
    <s v="ENERO"/>
    <n v="10"/>
    <n v="0"/>
    <n v="56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x v="0"/>
    <s v="25 - contrato de prestacion de servicios profesionales"/>
    <s v="ENERO"/>
    <n v="10"/>
    <n v="0"/>
    <n v="44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x v="0"/>
    <s v="25 - contrato de prestacion de servicios profesionales"/>
    <s v="ENERO"/>
    <n v="8"/>
    <n v="0"/>
    <n v="728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x v="0"/>
    <s v="25 - contrato de prestacion de servicios profesionales"/>
    <s v="ENERO"/>
    <n v="10"/>
    <n v="0"/>
    <n v="44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x v="0"/>
    <s v="25 - contrato de prestacion de servicios profesionales"/>
    <s v="ENERO"/>
    <n v="10"/>
    <n v="0"/>
    <n v="48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x v="0"/>
    <s v="26 - contrato de prestacion de servicios de apoyo a la gestion"/>
    <s v="ENERO"/>
    <n v="10"/>
    <n v="0"/>
    <n v="32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x v="0"/>
    <s v="25 - contrato de prestacion de servicios profesionales"/>
    <s v="ENERO"/>
    <n v="8"/>
    <n v="0"/>
    <n v="728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x v="0"/>
    <s v="25 - contrato de prestacion de servicios profesionales"/>
    <s v="ENERO"/>
    <n v="10"/>
    <n v="0"/>
    <n v="80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x v="0"/>
    <s v="25 - contrato de prestacion de servicios profesionales"/>
    <s v="ENERO"/>
    <n v="8"/>
    <n v="0"/>
    <n v="42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x v="0"/>
    <s v="25 - contrato de prestacion de servicios profesionales"/>
    <s v="ENERO"/>
    <n v="6"/>
    <n v="0"/>
    <n v="54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x v="1"/>
    <s v="11 - orden de prestacion de servicios"/>
    <s v="JUNIO"/>
    <n v="8"/>
    <n v="0"/>
    <n v="720000000"/>
    <s v="NO"/>
    <s v="Sub. Gestión Riesgos"/>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x v="1"/>
    <s v="06 - contrato de compraventa"/>
    <s v="JULIO"/>
    <n v="3"/>
    <n v="0"/>
    <n v="107000000"/>
    <s v="NO"/>
    <s v="Sub. Gestión Riesgos"/>
    <s v="William Tovar Segura"/>
    <x v="2"/>
    <s v="Subdirector@ de Gestión del Riesgo"/>
    <x v="0"/>
    <s v="53101801,53101803,53101501,53101503"/>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8215 Servicios de confección de artículos con materiales textiles"/>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x v="1"/>
    <s v="06 - contrato de compraventa"/>
    <s v="JULIO"/>
    <n v="3"/>
    <n v="0"/>
    <n v="60000000"/>
    <s v="NO"/>
    <s v="Sub. Gestión Riesgos"/>
    <s v="William Tovar Segura"/>
    <x v="2"/>
    <s v="Subdirector@ de Gestión del Riesgo"/>
    <x v="0"/>
    <s v="14111500,45101700, 45101800, 45101900, 451020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10033899920 Artículos varios de publicidad y propaganda"/>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447882000"/>
    <s v="SI"/>
    <s v="Sub. Gestión Corporativa"/>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x v="1"/>
    <s v="05 - contrato de obra"/>
    <s v="ENERO"/>
    <n v="18"/>
    <n v="0"/>
    <n v="4336206000"/>
    <s v="SI"/>
    <s v="Sub. Gestión Corporativa"/>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x v="1"/>
    <s v="14 - contrato de interventoria"/>
    <s v="ENERO"/>
    <n v="18"/>
    <n v="0"/>
    <n v="831592000"/>
    <s v="SI"/>
    <s v="Sub. Gestión Corporativa"/>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x v="0"/>
    <s v="25 - contrato de prestacion de servicios profesionales"/>
    <s v="ENERO"/>
    <n v="11"/>
    <n v="0"/>
    <n v="81102791"/>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ENERO"/>
    <n v="11"/>
    <n v="0"/>
    <n v="563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x v="0"/>
    <s v="25 - contrato de prestacion de servicios profesionales"/>
    <s v="ENERO"/>
    <n v="10"/>
    <n v="0"/>
    <n v="700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x v="0"/>
    <s v="25 - contrato de prestacion de servicios profesionales"/>
    <s v="ENERO"/>
    <n v="11"/>
    <n v="0"/>
    <n v="9996869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2627462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x v="0"/>
    <s v="25 - contrato de prestacion de servicios profesionales"/>
    <s v="ENERO"/>
    <n v="11"/>
    <n v="0"/>
    <n v="880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x v="0"/>
    <s v="26 - contrato de prestacion de servicios de apoyo a la gestion"/>
    <s v="ENERO"/>
    <n v="11"/>
    <n v="0"/>
    <n v="4704409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x v="0"/>
    <s v="25 - contrato de prestacion de servicios profesionales"/>
    <s v="ENERO"/>
    <n v="11"/>
    <n v="0"/>
    <n v="56771957"/>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x v="0"/>
    <s v="25 - contrato de prestacion de servicios profesionales"/>
    <s v="ENERO"/>
    <n v="4"/>
    <n v="0"/>
    <n v="2949192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x v="0"/>
    <s v="26 - contrato de prestacion de servicios de apoyo a la gestion"/>
    <s v="ENERO"/>
    <n v="11"/>
    <n v="0"/>
    <n v="3087269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x v="0"/>
    <s v="26 - contrato de prestacion de servicios de apoyo a la gestion"/>
    <s v="ENERO"/>
    <n v="11"/>
    <n v="0"/>
    <n v="3087269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x v="0"/>
    <s v="26 - contrato de prestacion de servicios de apoyo a la gestion"/>
    <s v="ENERO"/>
    <n v="11"/>
    <n v="0"/>
    <n v="3087269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x v="0"/>
    <s v="25 - contrato de prestacion de servicios profesionales"/>
    <s v="ENERO"/>
    <n v="11"/>
    <n v="0"/>
    <n v="10203399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x v="0"/>
    <s v="25 - contrato de prestacion de servicios profesionales"/>
    <s v="ENERO"/>
    <n v="11"/>
    <n v="0"/>
    <n v="8239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x v="0"/>
    <s v="25 - contrato de prestacion de servicios profesionales"/>
    <s v="ENERO"/>
    <n v="11"/>
    <n v="0"/>
    <n v="7497651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x v="0"/>
    <s v="26 - contrato de prestacion de servicios de apoyo a la gestion"/>
    <s v="ENERO"/>
    <n v="11"/>
    <n v="0"/>
    <n v="30872691"/>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x v="0"/>
    <s v="26 - contrato de prestacion de servicios de apoyo a la gestion"/>
    <s v="ENERO"/>
    <n v="11"/>
    <n v="0"/>
    <n v="4042851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x v="0"/>
    <s v="26 - contrato de prestacion de servicios de apoyo a la gestion"/>
    <s v="ENERO"/>
    <n v="11"/>
    <n v="0"/>
    <n v="30872691"/>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x v="0"/>
    <s v="26 - contrato de prestacion de servicios de apoyo a la gestion"/>
    <s v="ENERO"/>
    <n v="11"/>
    <n v="0"/>
    <n v="341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3096652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x v="0"/>
    <s v="25 - contrato de prestacion de servicios profesionales"/>
    <s v="ENERO"/>
    <n v="11"/>
    <n v="0"/>
    <n v="7497651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x v="0"/>
    <s v="26 - contrato de prestacion de servicios de apoyo a la gestion"/>
    <s v="ENERO"/>
    <n v="11"/>
    <n v="0"/>
    <n v="3806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x v="0"/>
    <s v="25 - contrato de prestacion de servicios profesionales"/>
    <s v="ENERO"/>
    <n v="11"/>
    <n v="0"/>
    <n v="7497651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x v="0"/>
    <s v="25 - contrato de prestacion de servicios profesionales"/>
    <s v="ENERO"/>
    <n v="11"/>
    <n v="0"/>
    <n v="9900000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44237886"/>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x v="0"/>
    <s v="25 - contrato de prestacion de servicios profesionales"/>
    <s v="ENERO"/>
    <n v="11"/>
    <n v="0"/>
    <n v="81102791"/>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x v="0"/>
    <s v="25 - contrato de prestacion de servicios profesionales"/>
    <s v="ENERO"/>
    <n v="11"/>
    <n v="0"/>
    <n v="10203424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x v="0"/>
    <s v="25 - contrato de prestacion de servicios profesionales"/>
    <s v="ENERO"/>
    <n v="11"/>
    <n v="0"/>
    <n v="7497651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x v="0"/>
    <s v="25 - contrato de prestacion de servicios profesionales"/>
    <s v="ENERO"/>
    <n v="11"/>
    <n v="0"/>
    <n v="7497651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x v="0"/>
    <s v="25 - contrato de prestacion de servicios profesionales"/>
    <s v="ENERO"/>
    <n v="11"/>
    <n v="0"/>
    <n v="101725045"/>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x v="0"/>
    <s v="25 - contrato de prestacion de servicios profesionales"/>
    <s v="ENERO"/>
    <n v="11"/>
    <n v="0"/>
    <n v="81102791"/>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x v="0"/>
    <s v="25 - contrato de prestacion de servicios profesionales"/>
    <s v="ENERO"/>
    <n v="10"/>
    <n v="0"/>
    <n v="5161087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x v="0"/>
    <s v="26 - contrato de prestacion de servicios de apoyo a la gestion"/>
    <s v="ENERO"/>
    <n v="11"/>
    <n v="0"/>
    <n v="3806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x v="0"/>
    <s v="25 - contrato de prestacion de servicios profesionales"/>
    <s v="ENERO"/>
    <n v="11"/>
    <n v="0"/>
    <n v="6635682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x v="0"/>
    <s v="25 - contrato de prestacion de servicios profesionales"/>
    <s v="ENERO"/>
    <n v="11"/>
    <n v="0"/>
    <n v="6635682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x v="0"/>
    <s v="26 - contrato de prestacion de servicios de apoyo a la gestion"/>
    <s v="ENERO"/>
    <n v="11"/>
    <n v="0"/>
    <n v="49398976"/>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x v="0"/>
    <s v="25 - contrato de prestacion de servicios profesionales"/>
    <s v="ENERO"/>
    <n v="11"/>
    <n v="0"/>
    <n v="6635682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x v="0"/>
    <s v="25 - contrato de prestacion de servicios profesionales"/>
    <s v="ENERO"/>
    <n v="11"/>
    <n v="0"/>
    <n v="10172507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x v="0"/>
    <s v="25 - contrato de prestacion de servicios profesionales"/>
    <s v="ENERO"/>
    <n v="11"/>
    <n v="0"/>
    <n v="5720000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ENERO"/>
    <n v="10"/>
    <n v="0"/>
    <n v="36194634"/>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x v="0"/>
    <s v="25 - contrato de prestacion de servicios profesionales"/>
    <s v="ENERO"/>
    <n v="11"/>
    <n v="0"/>
    <n v="81102791"/>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x v="0"/>
    <s v="25 - contrato de prestacion de servicios profesionales"/>
    <s v="ENERO"/>
    <n v="11"/>
    <n v="0"/>
    <n v="9900000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0"/>
    <n v="0"/>
    <n v="3273380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x v="0"/>
    <s v="25 - contrato de prestacion de servicios profesionales"/>
    <s v="ENERO"/>
    <n v="11"/>
    <n v="0"/>
    <n v="101725045"/>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x v="0"/>
    <s v="25 - contrato de prestacion de servicios profesionales"/>
    <s v="ENERO"/>
    <n v="10"/>
    <n v="0"/>
    <n v="7372981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x v="0"/>
    <s v="25 - contrato de prestacion de servicios profesionales"/>
    <s v="ENERO"/>
    <n v="11"/>
    <n v="0"/>
    <n v="101725045"/>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x v="0"/>
    <s v="26 - contrato de prestacion de servicios de apoyo a la gestion"/>
    <s v="ENERO"/>
    <n v="10"/>
    <n v="0"/>
    <n v="4275435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x v="0"/>
    <s v="25 - contrato de prestacion de servicios profesionales"/>
    <s v="ENERO"/>
    <n v="11"/>
    <n v="0"/>
    <n v="99968690"/>
    <s v="NO"/>
    <s v="Sub. Gestión Corporativa"/>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x v="0"/>
    <s v="25 - contrato de prestacion de servicios profesionales"/>
    <s v="ENERO"/>
    <n v="10"/>
    <n v="0"/>
    <n v="6012330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x v="0"/>
    <s v="26 - contrato de prestacion de servicios de apoyo a la gestion"/>
    <s v="ENERO"/>
    <n v="11"/>
    <n v="0"/>
    <n v="4704409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x v="0"/>
    <s v="25 - contrato de prestacion de servicios profesionales"/>
    <s v="ENERO"/>
    <n v="10"/>
    <n v="0"/>
    <n v="7348404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x v="0"/>
    <s v="25 - contrato de prestacion de servicios profesionales"/>
    <s v="ENERO"/>
    <n v="11"/>
    <n v="0"/>
    <n v="56771957"/>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x v="0"/>
    <s v="25 - contrato de prestacion de servicios profesionales"/>
    <s v="ENERO"/>
    <n v="11"/>
    <n v="0"/>
    <n v="74976512"/>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x v="0"/>
    <s v="25 - contrato de prestacion de servicios profesionales"/>
    <s v="ENERO"/>
    <n v="11"/>
    <n v="0"/>
    <n v="75133333"/>
    <s v="NO"/>
    <s v="Sub. Gestión Corporativa"/>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x v="0"/>
    <s v="25 - contrato de prestacion de servicios profesionales"/>
    <s v="ENERO"/>
    <n v="11"/>
    <n v="0"/>
    <n v="75133333"/>
    <s v="NO"/>
    <s v="Sub. Gestión Corporativa"/>
    <s v="Fatima Veronica Quintero Nuñez"/>
    <x v="2"/>
    <s v="Subdirector@ de Gestión del Riesgo"/>
    <x v="0"/>
    <s v="8011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66356829"/>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x v="0"/>
    <s v="25 - contrato de prestacion de servicios profesionales"/>
    <s v="ENERO"/>
    <n v="11"/>
    <n v="0"/>
    <n v="8225000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x v="0"/>
    <s v="26 - contrato de prestacion de servicios de apoyo a la gestion"/>
    <s v="ENERO"/>
    <n v="11"/>
    <n v="0"/>
    <n v="30872691"/>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x v="0"/>
    <s v="26 - contrato de prestacion de servicios de apoyo a la gestion"/>
    <s v="ENERO"/>
    <n v="10"/>
    <n v="0"/>
    <n v="2805755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x v="0"/>
    <s v="26 - contrato de prestacion de servicios de apoyo a la gestion"/>
    <s v="ENERO"/>
    <n v="11"/>
    <n v="0"/>
    <n v="1689083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x v="0"/>
    <s v="26 - contrato de prestacion de servicios de apoyo a la gestion"/>
    <s v="ENERO"/>
    <n v="11"/>
    <n v="0"/>
    <n v="42025995"/>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x v="0"/>
    <s v="26 - contrato de prestacion de servicios de apoyo a la gestion"/>
    <s v="ENERO"/>
    <n v="11"/>
    <n v="0"/>
    <n v="3087268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x v="0"/>
    <s v="26 - contrato de prestacion de servicios de apoyo a la gestion"/>
    <s v="ENERO"/>
    <n v="11"/>
    <n v="0"/>
    <n v="4704409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3612760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x v="0"/>
    <s v="26 - contrato de prestacion de servicios de apoyo a la gestion"/>
    <s v="ENERO"/>
    <n v="11"/>
    <n v="0"/>
    <n v="1970596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11"/>
    <n v="0"/>
    <n v="3612760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x v="0"/>
    <s v="25 - contrato de prestacion de servicios profesionales"/>
    <s v="ENERO"/>
    <n v="11"/>
    <n v="0"/>
    <n v="10017883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x v="0"/>
    <s v="25 - contrato de prestacion de servicios profesionales"/>
    <s v="ENERO"/>
    <n v="11"/>
    <n v="0"/>
    <n v="56771957"/>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x v="0"/>
    <s v="26 - contrato de prestacion de servicios de apoyo a la gestion"/>
    <s v="ENERO"/>
    <n v="10"/>
    <n v="0"/>
    <n v="38078099"/>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x v="0"/>
    <s v="25 - contrato de prestacion de servicios profesionales"/>
    <s v="ENERO"/>
    <n v="11"/>
    <n v="0"/>
    <n v="770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x v="0"/>
    <s v="25 - contrato de prestacion de servicios profesionales"/>
    <s v="ENERO"/>
    <n v="11"/>
    <n v="0"/>
    <n v="56771957"/>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x v="0"/>
    <s v="25 - contrato de prestacion de servicios profesionales"/>
    <s v="ENERO"/>
    <n v="6"/>
    <n v="0"/>
    <n v="420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68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x v="0"/>
    <s v="25 - contrato de prestacion de servicios profesionales"/>
    <s v="ENERO"/>
    <n v="11"/>
    <n v="0"/>
    <n v="770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ENERO"/>
    <n v="6"/>
    <n v="0"/>
    <n v="420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x v="1"/>
    <s v="03 - contrato de prestacion de servicios"/>
    <s v="FEBRERO"/>
    <n v="10"/>
    <n v="0"/>
    <n v="91253900"/>
    <s v="NO"/>
    <s v="Sub. Gestión Corporativa"/>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x v="1"/>
    <s v="08 - contrato de suministro"/>
    <s v="MAYO"/>
    <n v="8"/>
    <n v="0"/>
    <n v="12661688"/>
    <s v="NO"/>
    <s v="Sub. Gestión Corporativa"/>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x v="1"/>
    <s v="17 - contrato de mantenimiento"/>
    <s v="MAYO"/>
    <n v="8"/>
    <n v="0"/>
    <n v="48000000"/>
    <s v="NO"/>
    <s v="Sub. Gestión Corporativa"/>
    <s v="Fatima Veronica Quintero Nuñez"/>
    <x v="0"/>
    <s v="Subdirector@ de Gestión Corporativa"/>
    <x v="0"/>
    <s v="40101806;_x000a_40101826;"/>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x v="1"/>
    <s v="17 - contrato de mantenimiento"/>
    <s v="MAYO"/>
    <n v="8"/>
    <n v="0"/>
    <n v="48000000"/>
    <s v="NO"/>
    <s v="Sub. Gestión Corporativa"/>
    <s v="Fatima Veronica Quintero Nuñez"/>
    <x v="0"/>
    <s v="Subdirector@ de Gestión Corporativa"/>
    <x v="0"/>
    <n v="72151802"/>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x v="1"/>
    <s v="22 - contrato de adquisicion de bienes"/>
    <s v="MAYO"/>
    <n v="4"/>
    <n v="0"/>
    <n v="340735168"/>
    <s v="NO"/>
    <s v="Sub. Gestión Corporativa"/>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x v="1"/>
    <s v="17 - contrato de mantenimiento"/>
    <s v="MAYO"/>
    <n v="11"/>
    <n v="0"/>
    <n v="20000000"/>
    <s v="NO"/>
    <s v="Sub. Gestión Corporativa"/>
    <s v="Fatima Veronica Quintero Nuñez"/>
    <x v="0"/>
    <s v="Subdirector@ de Gestión Corporativa"/>
    <x v="0"/>
    <s v="73152108;"/>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x v="1"/>
    <s v="17 - contrato de mantenimiento"/>
    <s v="MARZO"/>
    <n v="11"/>
    <n v="0"/>
    <n v="120000000"/>
    <s v="NO"/>
    <s v="Sub. Gestión Corporativa"/>
    <s v="Fatima Veronica Quintero Nuñez"/>
    <x v="0"/>
    <s v="Subdirector@ de Gestión Corporativa"/>
    <x v="0"/>
    <s v="72151800;_x000a_721515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401 Motores, generadores y transformadores eléctricos y sus partes y piezas"/>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x v="1"/>
    <s v="17 - contrato de mantenimiento"/>
    <s v="ABRIL"/>
    <n v="10"/>
    <n v="0"/>
    <n v="180000000"/>
    <s v="NO"/>
    <s v="Sub. Gestión Corporativa"/>
    <s v="Fatima Veronica Quintero Nuñez"/>
    <x v="0"/>
    <s v="Subdirector@ de Gestión Corporativa"/>
    <x v="0"/>
    <s v="72154100;_x000a_ 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602 Servicio de mantenimiento y reparación de equipos de fuerza hidráulica y de potencia neumática, bombas, compresores y válvulas"/>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x v="1"/>
    <s v="17 - contrato de mantenimiento"/>
    <s v="MARZO"/>
    <n v="10"/>
    <n v="0"/>
    <n v="180000000"/>
    <s v="NO"/>
    <s v="Sub. Gestión Corporativa"/>
    <s v="Fatima Veronica Quintero Nuñez"/>
    <x v="0"/>
    <s v="Subdirector@ de Gestión Corporativa"/>
    <x v="0"/>
    <s v="72101500; _x000a_92101600; 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654612 Servicios de instalación de alarmas contra incendios"/>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x v="1"/>
    <s v="05 - contrato de obra"/>
    <s v="MAYO"/>
    <n v="10"/>
    <n v="0"/>
    <n v="730000000"/>
    <s v="NO"/>
    <s v="Sub. Gestión Corporativa"/>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x v="1"/>
    <s v="14 - contrato de interventoria"/>
    <s v="MAYO"/>
    <n v="10"/>
    <n v="0"/>
    <n v="200000000"/>
    <s v="NO"/>
    <s v="Sub. Gestión Corporativa"/>
    <s v="Fatima Veronica Quintero Nuñez"/>
    <x v="0"/>
    <s v="Subdirector@ de Gestión Corporativa"/>
    <x v="0"/>
    <s v="80101600; _x000a_81101500; _x000a_72101500; _x000a_721214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x v="1"/>
    <s v="17 - contrato de mantenimiento"/>
    <s v="MAYO"/>
    <n v="10"/>
    <n v="0"/>
    <n v="127000000"/>
    <s v="NO"/>
    <s v="Sub. Gestión Corporativa"/>
    <s v="Fatima Veronica Quintero Nuñez"/>
    <x v="0"/>
    <s v="Subdirector@ de Gestión Corporativa"/>
    <x v="0"/>
    <s v="47111500;_x000a_731518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x v="1"/>
    <s v="17 - contrato de mantenimiento"/>
    <s v="JUNIO"/>
    <n v="9"/>
    <n v="0"/>
    <n v="200000000"/>
    <s v="NO"/>
    <s v="Sub. Gestión Corporativa"/>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x v="1"/>
    <s v="03 - contrato de prestacion de servicios"/>
    <s v="ABRIL"/>
    <n v="11"/>
    <n v="0"/>
    <n v="250000000"/>
    <s v="NO"/>
    <s v="Sub. Gestión Corporativa"/>
    <s v="Fatima Veronica Quintero Nuñez"/>
    <x v="1"/>
    <s v="Subdirector@ de Gestión Corporativa"/>
    <x v="1"/>
    <s v="70111500;_x000a_72102100;_x000a_72102104;_x000a_76101503;_x000a_72154055;_x000a_70111703;_x000a_70111706;_x000a_70111503;"/>
    <s v="No aplica"/>
    <s v="No a"/>
    <s v="li"/>
    <s v="NA"/>
    <s v="NA"/>
    <s v="NA"/>
    <s v="N/A"/>
    <s v="N/A"/>
    <s v="N/A-N/A"/>
    <s v="N/A"/>
    <s v="N/A"/>
    <s v="N/A_N/A"/>
    <s v="N/A-N/A N/A_N/A"/>
    <s v="NANANAN/AN/A"/>
    <s v="N/A"/>
    <s v="No Aplica"/>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x v="1"/>
    <s v="03 - contrato de prestacion de servicios"/>
    <s v="MAYO"/>
    <n v="8"/>
    <n v="0"/>
    <n v="30000000"/>
    <s v="NO"/>
    <s v="Sub. Gestión Corporativa"/>
    <s v="Fatima Veronica Quintero Nuñez"/>
    <x v="1"/>
    <s v="Subdirector@ de Gestión Corporativa"/>
    <x v="1"/>
    <s v="81141807;_x000a_40151517;_x000a_76121701;_x000a_83101506;"/>
    <s v="No aplica"/>
    <s v="No a"/>
    <s v="li"/>
    <s v="NA"/>
    <s v="NA"/>
    <s v="NA"/>
    <s v="N/A"/>
    <s v="N/A"/>
    <s v="N/A-N/A"/>
    <s v="N/A"/>
    <s v="N/A"/>
    <s v="N/A_N/A"/>
    <s v="N/A-N/A N/A_N/A"/>
    <s v="NANANAN/AN/A"/>
    <s v="N/A"/>
    <s v="No Aplica"/>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x v="1"/>
    <s v="27 - contrato de prestacion de servicios de mantenimiento"/>
    <s v="ABRIL"/>
    <n v="10"/>
    <n v="0"/>
    <n v="24000000"/>
    <s v="NO"/>
    <s v="Sub. Gestión Corporativa"/>
    <s v="Fatima Veronica Quintero Nuñez"/>
    <x v="1"/>
    <s v="Subdirector@ de Gestión Corporativa"/>
    <x v="1"/>
    <s v="91111602;_x000a_72154302;_x000a_47101568;_x000a_49241712;"/>
    <s v="No aplica"/>
    <s v="No a"/>
    <s v="li"/>
    <s v="NA"/>
    <s v="NA"/>
    <s v="NA"/>
    <s v="N/A"/>
    <s v="N/A"/>
    <s v="N/A-N/A"/>
    <s v="N/A"/>
    <s v="N/A"/>
    <s v="N/A_N/A"/>
    <s v="N/A-N/A N/A_N/A"/>
    <s v="NANANAN/AN/A"/>
    <s v="N/A"/>
    <s v="No Aplica"/>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ENERO"/>
    <n v="1"/>
    <n v="0"/>
    <n v="17698013"/>
    <s v="NO"/>
    <s v="Sub. Gestión Corporativa"/>
    <s v="Fatima Veronica Quintero Nuñez"/>
    <x v="1"/>
    <s v="Subdirector@ de Gestión Corporativa"/>
    <x v="1"/>
    <s v="78102206;"/>
    <s v="No aplica"/>
    <s v="No a"/>
    <s v="li"/>
    <s v="NA"/>
    <s v="NA"/>
    <s v="NA"/>
    <s v="N/A"/>
    <s v="N/A"/>
    <s v="N/A-N/A"/>
    <s v="N/A"/>
    <s v="N/A"/>
    <s v="N/A_N/A"/>
    <s v="N/A-N/A N/A_N/A"/>
    <s v="NANANAN/AN/A"/>
    <s v="N/A"/>
    <s v="No Aplica"/>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MARZO"/>
    <n v="8"/>
    <n v="0"/>
    <n v="88070951"/>
    <s v="NO"/>
    <s v="Sub. Gestión Corporativa"/>
    <s v="Fatima Veronica Quintero Nuñez"/>
    <x v="1"/>
    <s v="Subdirector@ de Gestión Corporativa"/>
    <x v="1"/>
    <s v="78102206;"/>
    <s v="No aplica"/>
    <s v="No a"/>
    <s v="li"/>
    <s v="NA"/>
    <s v="NA"/>
    <s v="NA"/>
    <s v="N/A"/>
    <s v="N/A"/>
    <s v="N/A-N/A"/>
    <s v="N/A"/>
    <s v="N/A"/>
    <s v="N/A_N/A"/>
    <s v="N/A-N/A N/A_N/A"/>
    <s v="NANANAN/AN/A"/>
    <s v="N/A"/>
    <s v="No Aplica"/>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x v="1"/>
    <s v="03 - contrato de prestacion de servicios"/>
    <s v="FEBRERO"/>
    <n v="10"/>
    <n v="0"/>
    <n v="755000000"/>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x v="1"/>
    <s v="03 - contrato de prestacion de servicios"/>
    <s v="FEBRERO"/>
    <n v="10"/>
    <n v="0"/>
    <n v="355266492"/>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x v="1"/>
    <s v="08 - contrato de suministro"/>
    <s v="ABRIL"/>
    <n v="8"/>
    <n v="0"/>
    <n v="85000000"/>
    <s v="NO"/>
    <s v="Sub. Gestión Corporativa"/>
    <s v="Fatima Veronica Quintero Nuñez"/>
    <x v="1"/>
    <s v="Subdirector@ de Gestión Corporativa"/>
    <x v="1"/>
    <s v="14111500;_x000a_14111800;_x000a_44121700; _x000a_44121800; _x000a_44122000; _x000a_44122100;_x000a_44121600;_x000a_60101900;_x000a_27112300;_x000a_60105700;"/>
    <s v="No aplica"/>
    <s v="No a"/>
    <s v="li"/>
    <s v="NA"/>
    <s v="NA"/>
    <s v="NA"/>
    <s v="N/A"/>
    <s v="N/A"/>
    <s v="N/A-N/A"/>
    <s v="N/A"/>
    <s v="N/A"/>
    <s v="N/A_N/A"/>
    <s v="N/A-N/A N/A_N/A"/>
    <s v="NANANAN/AN/A"/>
    <s v="N/A"/>
    <s v="No Aplica"/>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ENERO"/>
    <n v="12"/>
    <n v="0"/>
    <n v="1000000000"/>
    <s v="NO"/>
    <s v="Sub. Gestión Corporativa"/>
    <s v="Fatima Veronica Quintero Nuñez"/>
    <x v="1"/>
    <s v="Subdirector@ de Gestión Corporativa"/>
    <x v="1"/>
    <s v="92121500;"/>
    <s v="No aplica"/>
    <s v="No a"/>
    <s v="li"/>
    <s v="NA"/>
    <s v="NA"/>
    <s v="NA"/>
    <s v="N/A"/>
    <s v="N/A"/>
    <s v="N/A-N/A"/>
    <s v="N/A"/>
    <s v="N/A"/>
    <s v="N/A_N/A"/>
    <s v="N/A-N/A N/A_N/A"/>
    <s v="NANANAN/AN/A"/>
    <s v="N/A"/>
    <s v="No Aplica"/>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x v="1"/>
    <s v="08 - contrato de suministro"/>
    <s v="MARZO"/>
    <n v="7"/>
    <n v="0"/>
    <n v="48900000"/>
    <s v="NO"/>
    <s v="Sub. Gestión Corporativa"/>
    <s v="Fatima Veronica Quintero Nuñez"/>
    <x v="1"/>
    <s v="Subdirector@ de Gestión Corporativa"/>
    <x v="1"/>
    <s v="47131800;"/>
    <s v="No aplica"/>
    <s v="No a"/>
    <s v="li"/>
    <s v="NA"/>
    <s v="NA"/>
    <s v="NA"/>
    <s v="N/A"/>
    <s v="N/A"/>
    <s v="N/A-N/A"/>
    <s v="N/A"/>
    <s v="N/A"/>
    <s v="N/A_N/A"/>
    <s v="N/A-N/A N/A_N/A"/>
    <s v="NANANAN/AN/A"/>
    <s v="N/A"/>
    <s v="No Aplica"/>
    <s v="Si Secop "/>
    <s v="20260528-BS-No a-li-Suministro de insumos para lavandería-SGC"/>
  </r>
  <r>
    <n v="20260529"/>
    <s v="Arrendamiento de instalaciones estación Ferias-SGC"/>
    <s v="09 - contratación directa"/>
    <x v="1"/>
    <s v="07 - contrato de arrendamiento"/>
    <s v="ENERO"/>
    <n v="12"/>
    <n v="0"/>
    <n v="178000000"/>
    <s v="NO"/>
    <s v="Sub. Gestión Corporativa"/>
    <s v="Fatima Veronica Quintero Nuñez"/>
    <x v="1"/>
    <s v="Subdirector@ de Gestión Corporativa"/>
    <x v="1"/>
    <s v="80131502;"/>
    <s v="No aplica"/>
    <s v="No a"/>
    <s v="li"/>
    <s v="NA"/>
    <s v="NA"/>
    <s v="NA"/>
    <s v="N/A"/>
    <s v="N/A"/>
    <s v="N/A-N/A"/>
    <s v="N/A"/>
    <s v="N/A"/>
    <s v="N/A_N/A"/>
    <s v="N/A-N/A N/A_N/A"/>
    <s v="NANANAN/AN/A"/>
    <s v="N/A"/>
    <s v="No Aplica"/>
    <s v="Si Secop "/>
    <s v="20260529-BS-No a-li-Arrendamiento de instalaciones estación Ferias-SGC"/>
  </r>
  <r>
    <n v="20260530"/>
    <s v="Adición y prórroga No. 1 al contrato 491 de 2025 que tiene como objeto “Mantenimiento ascensor nueva Estación de Bomberos de Fontibón-SGC"/>
    <s v="09 - contratación directa"/>
    <x v="1"/>
    <s v="17 - contrato de mantenimiento"/>
    <s v="MAYO"/>
    <n v="2"/>
    <n v="0"/>
    <n v="5241332"/>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x v="1"/>
    <s v="17 - contrato de mantenimiento"/>
    <s v="AGOSTO"/>
    <n v="6"/>
    <n v="0"/>
    <n v="8658668"/>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x v="1"/>
    <s v="17 - contrato de mantenimiento"/>
    <s v="ABRIL"/>
    <n v="2"/>
    <n v="0"/>
    <n v="10250000"/>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x v="1"/>
    <s v="17 - contrato de mantenimiento"/>
    <s v="AGOSTO"/>
    <n v="7"/>
    <n v="0"/>
    <n v="22050000"/>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x v="1"/>
    <s v="17 - contrato de mantenimiento"/>
    <s v="ABRIL"/>
    <n v="2"/>
    <n v="0"/>
    <n v="3798370"/>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x v="1"/>
    <s v="17 - contrato de mantenimiento"/>
    <s v="AGOSTO"/>
    <n v="7"/>
    <n v="0"/>
    <n v="10001630"/>
    <s v="NO"/>
    <s v="Sub. Gestión Corporativa"/>
    <s v="Fatima Veronica Quintero Nuñez"/>
    <x v="1"/>
    <s v="Subdirector@ de Gestión Corporativa"/>
    <x v="1"/>
    <s v="72101506;_x000a_72154010;"/>
    <s v="No aplica"/>
    <s v="No a"/>
    <s v="li"/>
    <s v="NA"/>
    <s v="NA"/>
    <s v="NA"/>
    <s v="N/A"/>
    <s v="N/A"/>
    <s v="N/A-N/A"/>
    <s v="N/A"/>
    <s v="N/A"/>
    <s v="N/A_N/A"/>
    <s v="N/A-N/A N/A_N/A"/>
    <s v="NANANAN/AN/A"/>
    <s v="N/A"/>
    <s v="No Aplica"/>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x v="1"/>
    <s v="15 - contrato de seguros"/>
    <s v="ABRIL"/>
    <n v="12"/>
    <n v="0"/>
    <n v="3736215797"/>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11"/>
    <n v="0"/>
    <n v="56771957"/>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x v="1"/>
    <s v="06 - contrato de compraventa"/>
    <s v="MARZO"/>
    <n v="3"/>
    <n v="0"/>
    <n v="32427500"/>
    <s v="NO"/>
    <s v="Sub. Gestión Corporativa"/>
    <s v="Fatima Veronica Quintero Nuñez"/>
    <x v="2"/>
    <s v="Subdirector@ de Gestión del Riesgo"/>
    <x v="0"/>
    <s v="23153602;"/>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x v="0"/>
    <s v="25 - contrato de prestacion de servicios profesionales"/>
    <s v="FEBRERO"/>
    <n v="11"/>
    <n v="0"/>
    <n v="616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x v="0"/>
    <s v="25 - contrato de prestacion de servicios profesionales"/>
    <s v="FEBRERO"/>
    <n v="11"/>
    <n v="0"/>
    <n v="88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x v="0"/>
    <s v="25 - contrato de prestacion de servicios profesionales"/>
    <s v="JULIO"/>
    <n v="5"/>
    <n v="0"/>
    <n v="505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x v="0"/>
    <s v="25 - contrato de prestacion de servicios profesionales"/>
    <s v="FEBRERO"/>
    <n v="11"/>
    <n v="0"/>
    <n v="1111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x v="0"/>
    <s v="25 - contrato de prestacion de servicios profesionales"/>
    <s v="FEBRERO"/>
    <n v="11"/>
    <n v="0"/>
    <n v="616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x v="0"/>
    <s v="25 - contrato de prestacion de servicios profesionales"/>
    <s v="FEBRERO"/>
    <n v="11"/>
    <n v="0"/>
    <n v="495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x v="0"/>
    <s v="26 - contrato de prestacion de servicios de apoyo a la gestion"/>
    <s v="FEBRERO"/>
    <n v="11"/>
    <n v="0"/>
    <n v="49398976"/>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x v="0"/>
    <s v="25 - contrato de prestacion de servicios profesionales"/>
    <s v="FEBRERO"/>
    <n v="11"/>
    <n v="0"/>
    <n v="9075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x v="0"/>
    <s v="25 - contrato de prestacion de servicios profesionales"/>
    <s v="FEBRERO"/>
    <n v="11"/>
    <n v="0"/>
    <n v="41288698"/>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x v="0"/>
    <s v="25 - contrato de prestacion de servicios profesionales"/>
    <s v="JULIO"/>
    <n v="4"/>
    <n v="0"/>
    <n v="368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x v="0"/>
    <s v="25 - contrato de prestacion de servicios profesionales"/>
    <s v="FEBRERO"/>
    <n v="11"/>
    <n v="0"/>
    <n v="1012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x v="0"/>
    <s v="25 - contrato de prestacion de servicios profesionales"/>
    <s v="FEBRERO"/>
    <n v="11"/>
    <n v="0"/>
    <n v="66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x v="0"/>
    <s v="25 - contrato de prestacion de servicios profesionales"/>
    <s v="FEBRERO"/>
    <n v="11"/>
    <n v="0"/>
    <n v="110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x v="0"/>
    <s v="25 - contrato de prestacion de servicios profesionales"/>
    <s v="FEBRERO"/>
    <n v="11"/>
    <n v="0"/>
    <n v="66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x v="0"/>
    <s v="25 - contrato de prestacion de servicios profesionales"/>
    <s v="FEBRERO"/>
    <n v="10"/>
    <n v="0"/>
    <n v="66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x v="0"/>
    <s v="25 - contrato de prestacion de servicios profesionales"/>
    <s v="FEBRERO"/>
    <n v="10"/>
    <n v="0"/>
    <n v="107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x v="0"/>
    <s v="26 - contrato de prestacion de servicios de apoyo a la gestion"/>
    <s v="JULIO"/>
    <n v="4"/>
    <n v="0"/>
    <n v="17963264"/>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x v="0"/>
    <s v="25 - contrato de prestacion de servicios profesionales"/>
    <s v="FEBRERO"/>
    <n v="10"/>
    <n v="0"/>
    <n v="70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x v="0"/>
    <s v="25 - contrato de prestacion de servicios profesionales"/>
    <s v="FEBRERO"/>
    <n v="10"/>
    <n v="0"/>
    <n v="825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x v="0"/>
    <s v="25 - contrato de prestacion de servicios profesionales"/>
    <s v="FEBRERO"/>
    <n v="10"/>
    <n v="0"/>
    <n v="65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x v="0"/>
    <s v="25 - contrato de prestacion de servicios profesionales"/>
    <s v="FEBRERO"/>
    <n v="10"/>
    <n v="0"/>
    <n v="60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x v="0"/>
    <s v="25 - contrato de prestacion de servicios profesionales"/>
    <s v="FEBRERO"/>
    <n v="10"/>
    <n v="0"/>
    <n v="65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x v="0"/>
    <s v="25 - contrato de prestacion de servicios profesionales"/>
    <s v="JULIO"/>
    <n v="4"/>
    <n v="0"/>
    <n v="204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x v="0"/>
    <s v="25 - contrato de prestacion de servicios profesionales"/>
    <s v="FEBRERO"/>
    <n v="10"/>
    <n v="0"/>
    <n v="100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x v="0"/>
    <s v="25 - contrato de prestacion de servicios profesionales"/>
    <s v="FEBRERO"/>
    <n v="10"/>
    <n v="0"/>
    <n v="54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x v="0"/>
    <s v="25 - contrato de prestacion de servicios profesionales"/>
    <s v="FEBRERO"/>
    <n v="10"/>
    <n v="0"/>
    <n v="54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x v="0"/>
    <s v="26 - contrato de prestacion de servicios de apoyo a la gestion"/>
    <s v="JULIO"/>
    <n v="4"/>
    <n v="0"/>
    <n v="148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FEBRERO"/>
    <n v="6"/>
    <n v="0"/>
    <n v="552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24 - contrato de servicio"/>
    <s v="ABRIL"/>
    <n v="10"/>
    <n v="0"/>
    <n v="129376354"/>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961 Servicios de organización y asistencia de convenciones"/>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x v="0"/>
    <s v="25 - contrato de prestacion de servicios profesionales"/>
    <s v="ENERO"/>
    <n v="6"/>
    <n v="0"/>
    <n v="30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x v="0"/>
    <s v="25 - contrato de prestacion de servicios profesionales"/>
    <s v="ENERO"/>
    <n v="6"/>
    <n v="0"/>
    <n v="36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x v="0"/>
    <s v="25 - contrato de prestacion de servicios profesionales"/>
    <s v="ENERO"/>
    <n v="6"/>
    <n v="0"/>
    <n v="546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x v="0"/>
    <s v="25 - contrato de prestacion de servicios profesionales"/>
    <s v="ENERO"/>
    <n v="8"/>
    <n v="0"/>
    <n v="56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x v="0"/>
    <s v="25 - contrato de prestacion de servicios profesionales"/>
    <s v="FEBRERO"/>
    <n v="6"/>
    <n v="0"/>
    <n v="408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x v="0"/>
    <s v="26 - contrato de prestacion de servicios de apoyo a la gestion"/>
    <s v="ENERO"/>
    <n v="6"/>
    <n v="0"/>
    <n v="216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x v="0"/>
    <s v="26 - contrato de prestacion de servicios de apoyo a la gestion"/>
    <s v="ENERO"/>
    <n v="5"/>
    <n v="0"/>
    <n v="14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x v="0"/>
    <s v="26 - contrato de prestacion de servicios de apoyo a la gestion"/>
    <s v="ENERO"/>
    <n v="5"/>
    <n v="0"/>
    <n v="16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ENERO"/>
    <n v="6"/>
    <n v="0"/>
    <n v="18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ENERO"/>
    <n v="6"/>
    <n v="0"/>
    <n v="14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x v="0"/>
    <s v="25 - contrato de prestacion de servicios profesionales"/>
    <s v="ENERO"/>
    <n v="6"/>
    <n v="0"/>
    <n v="33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x v="0"/>
    <s v="26 - contrato de prestacion de servicios de apoyo a la gestion"/>
    <s v="ENERO"/>
    <n v="6"/>
    <n v="0"/>
    <n v="2214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ENERO"/>
    <n v="7"/>
    <n v="0"/>
    <n v="217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x v="0"/>
    <s v="25 - contrato de prestacion de servicios profesionales"/>
    <s v="ENERO"/>
    <n v="11"/>
    <n v="0"/>
    <n v="60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x v="0"/>
    <s v="25 - contrato de prestacion de servicios profesionales"/>
    <s v="ENERO"/>
    <n v="6"/>
    <n v="0"/>
    <n v="3600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x v="0"/>
    <s v="25 - contrato de prestacion de servicios profesionales"/>
    <s v="JULIO"/>
    <n v="5"/>
    <n v="4"/>
    <n v="3600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x v="1"/>
    <s v="08 - contrato de suministro"/>
    <s v="MARZO"/>
    <n v="1"/>
    <n v="12"/>
    <n v="2386600"/>
    <s v="NO"/>
    <s v="Sub. Gestión Corporativa"/>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x v="0"/>
    <s v="25 - contrato de prestacion de servicios profesionales"/>
    <s v="ENERO"/>
    <n v="10"/>
    <n v="0"/>
    <n v="51610870"/>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ENERO"/>
    <n v="6"/>
    <n v="0"/>
    <n v="19705968"/>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x v="0"/>
    <s v="26 - contrato de prestacion de servicios de apoyo a la gestion"/>
    <s v="ENERO"/>
    <n v="6"/>
    <n v="0"/>
    <n v="1689083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x v="0"/>
    <s v="25 - contrato de prestacion de servicios profesionales"/>
    <s v="ENERO"/>
    <n v="10"/>
    <n v="0"/>
    <n v="3096652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ABRIL"/>
    <n v="3"/>
    <n v="12"/>
    <n v="1646510494"/>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x v="1"/>
    <s v="15 - contrato de seguros"/>
    <s v="JUNIO"/>
    <n v="12"/>
    <n v="0"/>
    <n v="60000000"/>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4996886"/>
    <s v="NO"/>
    <s v="Sub. Gestión Corporativa"/>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45000000"/>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x v="1"/>
    <s v="03 - contrato de prestacion de servicios"/>
    <s v="ENERO"/>
    <n v="1"/>
    <n v="0"/>
    <n v="25000000"/>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x v="1"/>
    <s v="03 - contrato de prestacion de servicios"/>
    <s v="ABRIL"/>
    <n v="0"/>
    <n v="0"/>
    <n v="22554375"/>
    <s v="NO"/>
    <s v="Sub. Gestión Corporativa"/>
    <s v="Fatima Veronica Quintero Nuñez"/>
    <x v="0"/>
    <s v="Subdirector@ de Gestión Corporativa"/>
    <x v="0"/>
    <s v="47111502;_x000a_47111503;_x000a_73151802;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4"/>
    <n v="0"/>
    <n v="2064434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x v="1"/>
    <s v="08 - contrato de suministro"/>
    <s v="MAYO"/>
    <n v="4"/>
    <n v="0"/>
    <n v="30000000"/>
    <s v="NO"/>
    <s v="Sub. Gestión Corporativa"/>
    <s v="Fatima Veronica Quintero Nuñez"/>
    <x v="2"/>
    <s v="Subdirector@ de Gestión del Riesgo"/>
    <x v="0"/>
    <s v="55121715;"/>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2072719002 Estandartes y banderas"/>
    <s v="Si Secop "/>
    <s v="20260603-BS-8173-11-Suministro de banderas y accesorios para las sedes UAECOB-SGC"/>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x v="0"/>
    <s v="25 - contrato de prestacion de servicios profesionales"/>
    <s v="FEBRERO"/>
    <n v="10"/>
    <n v="0"/>
    <n v="50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x v="0"/>
    <s v="25 - contrato de prestacion de servicios profesionales"/>
    <s v="FEBRERO"/>
    <n v="5"/>
    <n v="15"/>
    <n v="539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x v="0"/>
    <s v="25 - contrato de prestacion de servicios profesionales"/>
    <s v="FEBRERO"/>
    <n v="5"/>
    <n v="0"/>
    <n v="45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x v="0"/>
    <s v="25 - contrato de prestacion de servicios profesionales"/>
    <s v="FEBRERO"/>
    <n v="5"/>
    <n v="0"/>
    <n v="30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x v="0"/>
    <s v="25 - contrato de prestacion de servicios profesionales"/>
    <s v="FEBRERO"/>
    <n v="5"/>
    <n v="0"/>
    <n v="22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x v="0"/>
    <s v="25 - contrato de prestacion de servicios profesionales"/>
    <s v="FEBRERO"/>
    <n v="5"/>
    <n v="0"/>
    <n v="22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x v="0"/>
    <s v="26 - contrato de prestacion de servicios de apoyo a la gestion"/>
    <s v="FEBRERO"/>
    <n v="5"/>
    <n v="0"/>
    <n v="175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x v="0"/>
    <s v="25 - contrato de prestacion de servicios profesionales"/>
    <s v="FEBRERO"/>
    <n v="5"/>
    <n v="0"/>
    <n v="26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x v="0"/>
    <s v="26 - contrato de prestacion de servicios de apoyo a la gestion"/>
    <s v="FEBRERO"/>
    <n v="11"/>
    <n v="0"/>
    <n v="42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x v="1"/>
    <s v="11 - orden de prestacion de servicios"/>
    <s v="MARZO"/>
    <n v="3"/>
    <n v="0"/>
    <n v="180312424"/>
    <s v="NO"/>
    <s v="Sub. Gestión Riesgos"/>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x v="0"/>
    <s v="25 - contrato de prestacion de servicios profesionales"/>
    <s v="ENERO"/>
    <n v="10"/>
    <n v="0"/>
    <n v="65000000"/>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x v="0"/>
    <s v="25 - contrato de prestacion de servicios profesionales"/>
    <s v="ENERO"/>
    <n v="10"/>
    <n v="0"/>
    <n v="77000000"/>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ENERO"/>
    <n v="8"/>
    <n v="0"/>
    <n v="24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x v="0"/>
    <s v="25 - contrato de prestacion de servicios profesionales"/>
    <s v="ENERO"/>
    <n v="6"/>
    <n v="0"/>
    <n v="48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Adquisición de Motosierras para la atención de incidentes forestales  de la UAE Cuerpo Oficial de Bomberos de Bogotá - S.O."/>
    <s v="17 - acuerdo marco de precios"/>
    <x v="1"/>
    <s v="01 - orden de compra"/>
    <s v="SEPTIEMBRE"/>
    <n v="3"/>
    <n v="0"/>
    <n v="46391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1010030208 Otra maquinaria para usos especiales y sus partes y piezas"/>
    <s v="Si Secop "/>
    <s v="20260618-BS-8173-2--Adquisición de Motosierras para la atención de incidentes forestales  de la UAE Cuerpo Oficial de Bomberos de Bogotá -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x v="1"/>
    <s v="01 - orden de compra"/>
    <s v="ENERO"/>
    <n v="2"/>
    <n v="0"/>
    <n v="509334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1010030208 Otra maquinaria para usos especiales y sus partes y piezas"/>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x v="1"/>
    <s v="12 - resolucion"/>
    <s v="AGOSTO"/>
    <n v="11"/>
    <n v="0"/>
    <n v="180000000"/>
    <s v="NO"/>
    <s v="Sub. Gestión Humana"/>
    <s v="Jose Andres Ponce Caicedo"/>
    <x v="1"/>
    <s v="Subdirector@ de Gestión Corporativa"/>
    <x v="1"/>
    <s v="NA"/>
    <s v="No aplica"/>
    <s v="No a"/>
    <s v="li"/>
    <s v="NA"/>
    <s v="NA"/>
    <s v="NA"/>
    <s v="N/A"/>
    <s v="N/A"/>
    <s v="N/A-N/A"/>
    <s v="N/A"/>
    <s v="N/A"/>
    <s v="N/A_N/A"/>
    <s v="N/A-N/A N/A_N/A"/>
    <s v="NANANAN/AN/A"/>
    <s v="N/A"/>
    <s v="No Aplica"/>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x v="0"/>
    <s v="25 - contrato de prestacion de servicios profesionales"/>
    <s v="ENERO"/>
    <n v="3"/>
    <n v="0"/>
    <n v="294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x v="1"/>
    <s v="08 - contrato de suministro"/>
    <s v="MARZO"/>
    <n v="10"/>
    <n v="0"/>
    <n v="1050000000"/>
    <s v="NO"/>
    <s v="Sub. Logística"/>
    <s v="Omer Mauricio Rivera Ruiz"/>
    <x v="2"/>
    <s v="Subdirector@ de Gestión del Riesgo"/>
    <x v="0"/>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x v="0"/>
    <s v="26 - contrato de prestacion de servicios de apoyo a la gestion"/>
    <s v="ENERO"/>
    <n v="6"/>
    <n v="0"/>
    <n v="1689083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ENERO"/>
    <n v="6"/>
    <n v="0"/>
    <n v="22118946"/>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x v="0"/>
    <s v="25 - contrato de prestacion de servicios profesionales"/>
    <s v="ENERO"/>
    <n v="7"/>
    <n v="0"/>
    <n v="54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x v="0"/>
    <s v="26 - contrato de prestacion de servicios de apoyo a la gestion"/>
    <s v="ENERO"/>
    <n v="7"/>
    <n v="0"/>
    <n v="2583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x v="0"/>
    <s v="26 - contrato de prestacion de servicios de apoyo a la gestion"/>
    <s v="ENERO"/>
    <n v="7"/>
    <n v="0"/>
    <n v="25802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x v="0"/>
    <s v="26 - contrato de prestacion de servicios de apoyo a la gestion"/>
    <s v="FEBRERO"/>
    <n v="4"/>
    <n v="0"/>
    <n v="13136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x v="0"/>
    <s v="25 - contrato de prestacion de servicios profesionales"/>
    <s v="ENERO"/>
    <n v="7"/>
    <n v="0"/>
    <n v="49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x v="0"/>
    <s v="26 - contrato de prestacion de servicios de apoyo a la gestion"/>
    <s v="ENERO"/>
    <n v="7"/>
    <n v="0"/>
    <n v="2625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x v="0"/>
    <s v="25 - contrato de prestacion de servicios profesionales"/>
    <s v="ENERO"/>
    <n v="6"/>
    <n v="0"/>
    <n v="21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x v="1"/>
    <s v="23 - contrato de alquiler"/>
    <s v="FEBRERO"/>
    <n v="2"/>
    <n v="0"/>
    <n v="6664000"/>
    <s v="NO"/>
    <s v="Dirección Tic"/>
    <s v="Paula Ximena Henao Escobar"/>
    <x v="0"/>
    <s v="Subdirector@ de Gestión Corporativa"/>
    <x v="0"/>
    <n v="81112401"/>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x v="1"/>
    <s v="03 - contrato de prestacion de servicios"/>
    <s v="FEBRERO"/>
    <n v="2"/>
    <n v="0"/>
    <n v="20246686"/>
    <s v="NO"/>
    <s v="Dirección Tic"/>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x v="0"/>
    <s v="26 - contrato de prestacion de servicios de apoyo a la gestion"/>
    <s v="ENERO"/>
    <n v="5"/>
    <n v="0"/>
    <n v="16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MAYO"/>
    <n v="0"/>
    <n v="0"/>
    <n v="238909870"/>
    <s v="NO"/>
    <s v="Sub. Gestión Corporativa"/>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x v="0"/>
    <s v="25 - contrato de prestacion de servicios profesionales"/>
    <s v="NO APLICA"/>
    <n v="0"/>
    <n v="0"/>
    <n v="95000000"/>
    <s v="NO"/>
    <s v="Dirección Tic congelamiento"/>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36-TH-8126-5--Congelamiento recursos 5% proyecto 8126"/>
  </r>
  <r>
    <n v="20260637"/>
    <s v="Congelamiento recursos 5% proyecto 8126"/>
    <s v="17 - acuerdo marco de precios"/>
    <x v="0"/>
    <s v="03 - contrato de prestacion de servicios"/>
    <s v="NO APLICA"/>
    <n v="0"/>
    <n v="0"/>
    <n v="65650000"/>
    <s v="NO"/>
    <s v="Dirección Tic congelamiento"/>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7-TH-8126-4--Congelamiento recursos 5% proyecto 8126"/>
  </r>
  <r>
    <n v="20260638"/>
    <s v="Congelamiento recursos 5% proyecto 8126"/>
    <s v="09 - contratación directa"/>
    <x v="0"/>
    <s v="25 - contrato de prestacion de servicios profesionales"/>
    <s v="NO APLICA"/>
    <n v="0"/>
    <n v="0"/>
    <n v="251642325"/>
    <s v="NO"/>
    <s v="Sub. Gestión Corporativa congelamiento"/>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38-TH-8126-9--Congelamiento recursos 5% proyecto 8126"/>
  </r>
  <r>
    <n v="20260639"/>
    <s v="Congelamiento recursos 5% proyecto 8173"/>
    <s v="01 - licitación pública"/>
    <x v="0"/>
    <s v="05 - contrato de obra"/>
    <s v="NO APLICA"/>
    <n v="0"/>
    <n v="0"/>
    <n v="3760200"/>
    <s v="NO"/>
    <s v="Sub. Gestión Corporativa congelamiento"/>
    <s v="Fatima Veronica Quintero Nuñez"/>
    <x v="2"/>
    <s v="Subdirector@ de Gestión del Riesgo"/>
    <x v="0"/>
    <s v="72121400; 72151700; 72151700; 81101500"/>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No Secop"/>
    <s v="20260639-TH-8173-7--Congelamiento recursos 5% proyecto 8173"/>
  </r>
  <r>
    <n v="20260640"/>
    <s v="Congelamiento recursos 5% proyecto 8126"/>
    <s v="09 - contratación directa"/>
    <x v="0"/>
    <s v="25 - contrato de prestacion de servicios profesionales"/>
    <s v="NO APLICA"/>
    <n v="0"/>
    <n v="0"/>
    <n v="20296300"/>
    <s v="NO"/>
    <s v="Oficina Asesora de Planeación congelamiento"/>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640-TH-8126-2--Congelamiento recursos 5% proyecto 8126"/>
  </r>
  <r>
    <n v="20260641"/>
    <s v="Congelamiento recursos 5% proyecto 8126"/>
    <s v="09 - contratación directa"/>
    <x v="0"/>
    <s v="25 - contrato de prestacion de servicios profesionales"/>
    <s v="NO APLICA"/>
    <n v="0"/>
    <n v="0"/>
    <n v="55442250"/>
    <s v="NO"/>
    <s v="Oficina Asesora de Planeación congelamiento"/>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641-TH-8126-1--Congelamiento recursos 5% proyecto 8126"/>
  </r>
  <r>
    <n v="20260642"/>
    <s v="Congelamiento recursos 5% proyecto 8126"/>
    <s v="02 - selec. abrev. menor cuantía"/>
    <x v="0"/>
    <s v="03 - contrato de prestacion de servicios"/>
    <s v="NO APLICA"/>
    <n v="0"/>
    <n v="0"/>
    <n v="114350000"/>
    <s v="NO"/>
    <s v="Dirección Tic congelamiento"/>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42-TH-8126-5--Congelamiento recursos 5% proyecto 8126"/>
  </r>
  <r>
    <n v="20260643"/>
    <s v="Congelamiento recursos 5% proyecto 8126"/>
    <s v="09 - contratación directa"/>
    <x v="0"/>
    <s v="25 - contrato de prestacion de servicios profesionales"/>
    <s v="NO APLICA"/>
    <n v="0"/>
    <n v="0"/>
    <n v="51177500"/>
    <s v="NO"/>
    <s v="Dirección comunicaciones y Prensa congelamiento"/>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43-TH-8126-10-Congelamiento recursos 5% proyecto 8126"/>
  </r>
  <r>
    <n v="20260644"/>
    <s v="Congelamiento recursos 5% proyecto 8126"/>
    <s v="09 - contratación directa"/>
    <x v="0"/>
    <s v="25 - contrato de prestacion de servicios profesionales"/>
    <s v="NO APLICA"/>
    <n v="0"/>
    <n v="0"/>
    <n v="150000000"/>
    <s v="NO"/>
    <s v="Dirección Congelamiento"/>
    <s v="Paula Ximena Henao Escobar"/>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4-TH-8126-9--Congelamiento recursos 5% proyecto 8126"/>
  </r>
  <r>
    <n v="20260645"/>
    <s v="Congelamiento recursos 5% proyecto 8126"/>
    <s v="09 - contratación directa"/>
    <x v="0"/>
    <s v="25 - contrato de prestacion de servicios profesionales"/>
    <s v="NO APLICA"/>
    <n v="0"/>
    <n v="0"/>
    <n v="41615310"/>
    <s v="NO"/>
    <s v="Oficina de Control Disciplinario Interno congelamiento"/>
    <s v="Diana Marcela Zarabanda Suar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5-TH-8126-9--Congelamiento recursos 5% proyecto 8126"/>
  </r>
  <r>
    <n v="20260646"/>
    <s v="Congelamiento recursos 5% proyecto 8126"/>
    <s v="09 - contratación directa"/>
    <x v="0"/>
    <s v="25 - contrato de prestacion de servicios profesionales"/>
    <s v="NO APLICA"/>
    <n v="0"/>
    <n v="0"/>
    <n v="24969186"/>
    <s v="NO"/>
    <s v="Oficina de Control Interno congelamiento"/>
    <s v="Carlos Andres Vargas Puert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6-TH-8126-9--Congelamiento recursos 5% proyecto 8126"/>
  </r>
  <r>
    <n v="20260647"/>
    <s v="Congelamiento recursos 5% proyecto 8126"/>
    <s v="09 - contratación directa"/>
    <x v="0"/>
    <s v="25 - contrato de prestacion de servicios profesionales"/>
    <s v="NO APLICA"/>
    <n v="0"/>
    <n v="0"/>
    <n v="96470911"/>
    <s v="NO"/>
    <s v="Oficina Juridica congelamiento"/>
    <s v="Mónica María Pérez Barragán"/>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7-TH-8126-9--Congelamiento recursos 5% proyecto 8126"/>
  </r>
  <r>
    <n v="20260648"/>
    <s v="Congelamiento recursos 5% proyecto 8126"/>
    <s v="09 - contratación directa"/>
    <x v="0"/>
    <s v="25 - contrato de prestacion de servicios profesionales"/>
    <s v="NO APLICA"/>
    <n v="0"/>
    <n v="0"/>
    <n v="28365368"/>
    <s v="NO"/>
    <s v="Sub. Gestión Humana congelamiento"/>
    <s v="Jose Andres Ponce Caiced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8-TH-8126-9--Congelamiento recursos 5% proyecto 8126"/>
  </r>
  <r>
    <n v="20260649"/>
    <s v="Congelamiento recursos 5% proyecto 8126"/>
    <s v="02 - selec. abrev. menor cuantía"/>
    <x v="0"/>
    <s v="17 - contrato de mantenimiento"/>
    <s v="NO APLICA"/>
    <n v="0"/>
    <n v="0"/>
    <n v="71000000"/>
    <s v="NO"/>
    <s v="Sub. Gestión Corporativa congelamiento"/>
    <s v="Fatima Veronica Quintero Nuñez"/>
    <x v="0"/>
    <s v="Subdirector@ de Gestión Corporativa"/>
    <x v="0"/>
    <s v="72151000;_x000a_72101500;_x000a_72153200;_x000a_ 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49-TH-8126-8--Congelamiento recursos 5% proyecto 8126"/>
  </r>
  <r>
    <n v="20260650"/>
    <s v="Congelamiento recursos 5% proyecto 8126"/>
    <s v="01 - licitación pública"/>
    <x v="0"/>
    <s v="05 - contrato de obra"/>
    <s v="NO APLICA"/>
    <n v="0"/>
    <n v="0"/>
    <n v="166144100"/>
    <s v="NO"/>
    <s v="Sub. Gestión Corporativa congelamiento"/>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No Secop"/>
    <s v="20260650-TH-8126-8--Congelamiento recursos 5% proyecto 8126"/>
  </r>
  <r>
    <n v="20260651"/>
    <s v="Congelamiento recursos 5% proyecto 8126"/>
    <s v="17 - acuerdo marco de precios"/>
    <x v="0"/>
    <s v="03 - contrato de prestacion de servicios"/>
    <s v="NO APLICA"/>
    <n v="0"/>
    <n v="0"/>
    <n v="26250000"/>
    <s v="NO"/>
    <s v="Sub. Gestión Corporativa congelamiento"/>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1-TH-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x v="0"/>
    <s v="25 - contrato de prestacion de servicios profesionales"/>
    <s v="ENERO"/>
    <n v="7"/>
    <n v="0"/>
    <n v="553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6 - contrato de prestacion de servicios de apoyo a la gestion"/>
    <s v="ENERO"/>
    <n v="7"/>
    <n v="0"/>
    <n v="28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x v="0"/>
    <s v="25 - contrato de prestacion de servicios profesionales"/>
    <s v="ENERO"/>
    <n v="6"/>
    <n v="0"/>
    <n v="45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x v="1"/>
    <s v="11 - orden de prestacion de servicios"/>
    <s v="MARZO"/>
    <n v="3"/>
    <n v="0"/>
    <n v="400000000"/>
    <s v="NO"/>
    <s v="Sub. Gestión Riesgos"/>
    <s v="William Tovar Segura"/>
    <x v="2"/>
    <s v="Subdirector@ de Gestión del Riesgo"/>
    <x v="0"/>
    <s v="80141900_x000a_90111500_x000a_90111600_x000a_80141600_x000a_80161502"/>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5961 Servicios de organización y asistencia de convenciones"/>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FEBRERO"/>
    <n v="3"/>
    <n v="20"/>
    <n v="52231036"/>
    <s v="NO"/>
    <s v="Sub. Gestión Corporativa"/>
    <s v="Fatima Veronica Quintero Nuñez"/>
    <x v="1"/>
    <s v="Subdirector@ de Gestión Corporativa"/>
    <x v="1"/>
    <s v="78102206;"/>
    <s v="No aplica"/>
    <s v="No a"/>
    <s v="li"/>
    <s v="NA"/>
    <s v="NA"/>
    <s v="NA"/>
    <s v="N/A"/>
    <s v="N/A"/>
    <s v="N/A-N/A"/>
    <s v="N/A"/>
    <s v="N/A"/>
    <s v="N/A_N/A"/>
    <s v="N/A-N/A N/A_N/A"/>
    <s v="NANANAN/AN/A"/>
    <s v="N/A"/>
    <s v="No Aplica"/>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x v="1"/>
    <s v="08 - contrato de suministro"/>
    <s v="ABRIL"/>
    <n v="10"/>
    <n v="0"/>
    <n v="400000000"/>
    <s v="NO"/>
    <s v="Sub. Gestión Corporativa"/>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2 Máquinas herramientas y sus partes, piezas y accesorios"/>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289132047"/>
    <s v="NO"/>
    <s v="Sub. Gestión Corporativa"/>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x v="1"/>
    <s v="12 - resolucion"/>
    <s v="MARZO"/>
    <n v="6"/>
    <n v="0"/>
    <n v="45860535"/>
    <s v="NO"/>
    <s v="Sub. Gestión Humana"/>
    <s v="Jose Andres Ponce Caicedo"/>
    <x v="1"/>
    <s v="Subdirector@ de Gestión Corporativa"/>
    <x v="1"/>
    <s v="N/A"/>
    <s v="No aplica"/>
    <s v="No a"/>
    <s v="li"/>
    <s v="NA"/>
    <s v="NA"/>
    <s v="NA"/>
    <s v="N/A"/>
    <s v="N/A"/>
    <s v="N/A-N/A"/>
    <s v="N/A"/>
    <s v="N/A"/>
    <s v="N/A_N/A"/>
    <s v="N/A-N/A N/A_N/A"/>
    <s v="NANANAN/AN/A"/>
    <s v="N/A"/>
    <s v="No Aplica"/>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x v="0"/>
    <s v="25 - contrato de prestacion de servicios profesionales"/>
    <s v="ABRIL"/>
    <n v="1"/>
    <n v="15"/>
    <n v="105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x v="1"/>
    <s v="03 - contrato de prestacion de servicios"/>
    <s v="MAYO"/>
    <n v="24"/>
    <n v="0"/>
    <n v="0"/>
    <s v="NO"/>
    <s v="Sub. Gestión Humana"/>
    <s v="Jose Andres Ponce Caicedo"/>
    <x v="3"/>
    <s v="Subdirector@ de Gestión Corporativa"/>
    <x v="4"/>
    <n v="84131605"/>
    <s v="No aplica"/>
    <s v="No a"/>
    <s v="li"/>
    <s v=" "/>
    <s v=" "/>
    <s v=" "/>
    <s v="N/A"/>
    <s v="N/A"/>
    <s v="N/A-N/A"/>
    <s v="N/A"/>
    <s v="N/A"/>
    <s v="N/A_N/A"/>
    <s v="N/A-N/A N/A_N/A"/>
    <s v="   N/AN/A"/>
    <s v="N/A"/>
    <s v="No Aplica"/>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x v="0"/>
    <s v="26 - contrato de prestacion de servicios de apoyo a la gestion"/>
    <s v="MARZO"/>
    <n v="1"/>
    <n v="15"/>
    <n v="51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x v="0"/>
    <s v="25 - contrato de prestacion de servicios profesionales"/>
    <s v="MARZO"/>
    <n v="1"/>
    <n v="15"/>
    <n v="16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x v="0"/>
    <s v="25 - contrato de prestacion de servicios profesionales"/>
    <s v="MAYO"/>
    <n v="2"/>
    <n v="0"/>
    <n v="68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x v="0"/>
    <s v="26 - contrato de prestacion de servicios de apoyo a la gestion"/>
    <s v="ABRIL"/>
    <n v="2"/>
    <n v="0"/>
    <n v="124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x v="1"/>
    <s v="24 - contrato de servicio"/>
    <s v="ABRIL"/>
    <n v="2"/>
    <n v="26"/>
    <n v="57246059"/>
    <s v="NO"/>
    <s v="Dirección Tic"/>
    <s v="Paula Ximena Henao Escobar"/>
    <x v="1"/>
    <s v="Subdirector@ de Gestión Corporativa"/>
    <x v="1"/>
    <n v="80111600"/>
    <s v="No aplica"/>
    <s v="No a"/>
    <s v="li"/>
    <s v="NA"/>
    <s v="NA"/>
    <s v="NA"/>
    <s v="N/A"/>
    <s v="N/A"/>
    <s v="N/A-N/A"/>
    <s v="N/A"/>
    <s v="N/A"/>
    <s v="N/A_N/A"/>
    <s v="N/A-N/A N/A_N/A"/>
    <s v="NANANAN/AN/A"/>
    <s v="N/A"/>
    <s v="No Aplica"/>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x v="1"/>
    <s v="06 - contrato de compraventa"/>
    <s v="MARZO"/>
    <n v="12"/>
    <n v="0"/>
    <n v="1166406100"/>
    <s v="NO"/>
    <s v="Dirección Tic"/>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x v="1"/>
    <s v="03 - contrato de prestacion de servicios"/>
    <s v="MARZO"/>
    <n v="1"/>
    <n v="0"/>
    <n v="3212500"/>
    <s v="NO"/>
    <s v="Dirección Tic"/>
    <s v="Paula Ximena Henao Escobar"/>
    <x v="0"/>
    <s v="Subdirector@ de Gestión Corporativa"/>
    <x v="5"/>
    <s v="N/A"/>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x v="1"/>
    <s v="06 - contrato de compraventa"/>
    <s v="MARZO"/>
    <n v="0"/>
    <n v="0"/>
    <n v="628000"/>
    <s v="NO"/>
    <s v="Sub. Gestión Corporativa"/>
    <s v="Fatima Veronica Quintero Nuñez"/>
    <x v="2"/>
    <s v="Subdirector@ de Gestión del Riesgo"/>
    <x v="0"/>
    <s v="24131500;_x000a_52141500;_x000a_52151600;_x000a_ 52152000;_x000a_52152300; _x000a_521615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887151 Servicios de mantenimiento y reparación de electrodomésticos"/>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
    <s v="09 - contratación directa"/>
    <x v="1"/>
    <s v="09 - convenio interadministrativo"/>
    <s v="JULIO"/>
    <n v="12"/>
    <n v="0"/>
    <n v="500000000"/>
    <s v="NO"/>
    <s v="Dirección Tic"/>
    <s v="Paula Ximena Henao Escobar"/>
    <x v="0"/>
    <s v="Subdirector@ de Gestión Corporativa"/>
    <x v="0"/>
    <s v="81111500; 81111900; 81112200; 43232400; 43231500; 43231500; 81111508; 81111509; 46171600; 81111805"/>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41 Servicios de diseño y desarrollo de aplicaciones en tecnologías de la información (TI)"/>
    <s v="Si Secop "/>
    <s v="20260671-BS-8126-4--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
  </r>
  <r>
    <n v="20260672"/>
    <s v="Suministro de alimentación e hidratación para el cuerpo operativo en la atención de emergencias, entrenamientos, capacitaciones y actividades de prevención.-SBLG "/>
    <s v="03 - selec. abrev. subasta inversa"/>
    <x v="1"/>
    <s v="08 - contrato de suministro"/>
    <s v="MAYO"/>
    <n v="8"/>
    <n v="0"/>
    <n v="250000000"/>
    <s v="NO"/>
    <s v="Sub. Logística"/>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x v="1"/>
    <s v="01 - orden de compra"/>
    <s v="MARZO"/>
    <n v="3"/>
    <n v="0"/>
    <n v="12111000"/>
    <s v="NO"/>
    <s v="Sub. Gestión Riesgos"/>
    <s v="William Tovar Segura"/>
    <x v="2"/>
    <s v="Subdirector@ de Gestión del Riesgo"/>
    <x v="0"/>
    <s v="60121206,60121000,60121500,6012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21 Servicios de la administración pública relacionados con la educación"/>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x v="1"/>
    <s v="03 - contrato de prestacion de servicios"/>
    <s v="ABRIL"/>
    <n v="1"/>
    <n v="0"/>
    <n v="9942844"/>
    <s v="NO"/>
    <s v="Dirección Tic"/>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31000000"/>
    <s v="NO"/>
    <s v="Sub. Logística"/>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x v="1"/>
    <s v="06 - contrato de compraventa"/>
    <s v="JULIO"/>
    <n v="6"/>
    <n v="0"/>
    <n v="0"/>
    <s v="NO"/>
    <s v="Sub. Logística"/>
    <s v="Omer Mauricio Rivera Ruiz"/>
    <x v="2"/>
    <s v="Subdirector@ de Gestión del Riesgo"/>
    <x v="0"/>
    <n v="46191607"/>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1010030208 Otra maquinaria para usos especiales y sus partes y piezas"/>
    <s v="Si Secop "/>
    <s v="20260677-BS-8173-4--Adquisición de agente encapsulador, para apagar incendios de baterías de iones de litio-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x v="1"/>
    <s v="04 - contrato de consultoria"/>
    <s v="MAYO"/>
    <n v="1"/>
    <n v="0"/>
    <n v="5972249"/>
    <s v="NO"/>
    <s v="Sub. Gestión Corporativa"/>
    <s v="Fatima Veronica Quintero Nuñez"/>
    <x v="2"/>
    <s v="Subdirector@ de Gestión del Riesgo"/>
    <x v="0"/>
    <s v="81101500;_x000a_80101600"/>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x v="1"/>
    <s v="05 - contrato de obra"/>
    <s v="JULIO"/>
    <n v="15"/>
    <n v="0"/>
    <n v="1628100000"/>
    <s v="SI"/>
    <s v="Sub. Gestión Corporativa"/>
    <s v="Fatima Veronica Quintero Nuñez"/>
    <x v="2"/>
    <s v="Subdirector@ de Gestión del Riesgo"/>
    <x v="3"/>
    <s v="72121400; 72151700; 72151700; 811015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x v="1"/>
    <s v="14 - contrato de interventoria"/>
    <s v="JULIO"/>
    <n v="15"/>
    <n v="0"/>
    <n v="223500000"/>
    <s v="SI"/>
    <s v="Sub. Gestión Corporativa"/>
    <s v="Fatima Veronica Quintero Nuñez"/>
    <x v="2"/>
    <s v="Subdirector@ de Gestión del Riesgo"/>
    <x v="3"/>
    <s v="81101500; 80101600; 72121400; 951217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1-BS-8173-8--Interventoría técnica, administrativa, financiera, contable, jurídica, ambiental  y de Seguridad y Salud en el Trabajo para la construcción de la estación de bomberos Ferias B7 UAE Cuerpo Oficial de Bomberos de Bogotá – SGC"/>
  </r>
  <r>
    <n v="20260684"/>
    <s v="Realizar la adecuación y mejoramiento de las instalaciones de La Unidad Administrativa Especial Cuerpo Oficial de Bomberos de Bogotá D.C. – SGC.C"/>
    <s v="01 - licitación pública"/>
    <x v="1"/>
    <s v="05 - contrato de obra"/>
    <s v="JULIO"/>
    <n v="10"/>
    <n v="0"/>
    <n v="218693801"/>
    <s v="NO"/>
    <s v="Sub. Gestión Corporativa"/>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17798000"/>
    <s v="NO"/>
    <s v="Sub. Gestión Corporativa"/>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x v="1"/>
    <s v="05 - contrato de obra"/>
    <s v="JULIO"/>
    <n v="10"/>
    <n v="0"/>
    <n v="730602000"/>
    <s v="NO"/>
    <s v="Sub. Gestión Corporativa"/>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x v="1"/>
    <s v="14 - contrato de interventoria"/>
    <s v="JULIO"/>
    <n v="10"/>
    <n v="0"/>
    <n v="250000000"/>
    <s v="NO"/>
    <s v="Sub. Gestión Corporativa"/>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x v="1"/>
    <s v="12 - resolucion"/>
    <s v="MAYO"/>
    <n v="0"/>
    <n v="0"/>
    <n v="40032337"/>
    <s v="NO"/>
    <s v="Sub. Gestión Corporativa"/>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x v="1"/>
    <s v="12 - resolucion"/>
    <s v="MAYO"/>
    <n v="0"/>
    <n v="0"/>
    <n v="135000000"/>
    <s v="NO"/>
    <s v="Sub. Gestión Corporativa"/>
    <s v="Fatima Veronica Quintero Nuñez"/>
    <x v="2"/>
    <s v="Subdirector@ de Gestión del Riesgo"/>
    <x v="5"/>
    <s v="N/A"/>
    <s v="8173 10-Realizar 2 documentos de lineamientos técnicos para la construcción de estaciones de bomberos"/>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x v="1"/>
    <s v="12 - resolucion"/>
    <s v="MAYO"/>
    <n v="0"/>
    <n v="0"/>
    <n v="10802121"/>
    <s v="NO"/>
    <s v="Sub. Gestión Corporativa"/>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1"/>
    <s v="Reconocimiento y pago Pasivo Exigible FERIAS "/>
    <s v="91 - n/a acto administrativo (resolución, decreto, acuerdo, etc.)"/>
    <x v="1"/>
    <s v="12 - resolucion"/>
    <s v="OCTUBRE"/>
    <n v="0"/>
    <n v="0"/>
    <n v="24494472"/>
    <s v="NO"/>
    <s v="Sub. Gestión Corporativa"/>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1-BS-8173-7--Reconocimiento y pago Pasivo Exigible FERIAS "/>
  </r>
  <r>
    <n v="20260693"/>
    <s v="Adición No. 1 al contrato 538 de 2025 que tiene como objeto “Realizar el mantenimiento preventivo, correctivo de puertas automatizadas para las salas de máquinas de las estaciones de la UAE Cuerpo Oficial de Bomberos-SGC"/>
    <s v="02 - selec. abrev. menor cuantía"/>
    <x v="1"/>
    <s v="17 - contrato de mantenimiento"/>
    <s v="ABRIL"/>
    <n v="1"/>
    <n v="0"/>
    <n v="19998433"/>
    <s v="NO"/>
    <s v="Sub. Gestión Corporativa"/>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x v="1"/>
    <s v="06 - contrato de compraventa"/>
    <s v="ABRIL"/>
    <n v="1"/>
    <n v="0"/>
    <n v="14994479"/>
    <s v="NO"/>
    <s v="Sub. Gestión Corporativa"/>
    <s v="Fatima Veronica Quintero Nuñez"/>
    <x v="2"/>
    <s v="Subdirector@ de Gestión del Riesgo"/>
    <x v="0"/>
    <s v="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73722102 Utensilios de loza para mesa y la cocina"/>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x v="0"/>
    <s v="25 - contrato de prestacion de servicios profesionales"/>
    <s v="JULIO"/>
    <n v="7"/>
    <n v="0"/>
    <n v="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x v="1"/>
    <s v="06 - contrato de compraventa"/>
    <s v="JULIO"/>
    <n v="3"/>
    <n v="0"/>
    <n v="48000000"/>
    <s v="NO"/>
    <s v="Sub. Operativa"/>
    <s v="Yenire Yohansy Lozano Ascanio"/>
    <x v="2"/>
    <s v="Subdirector@ de Gestión del Riesgo"/>
    <x v="0"/>
    <n v="101015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200661114 Comercio al por mayor (excepto el realizado a cambio de una retribución o por contrata) de animales vivos, incluidas las mascotas"/>
    <s v="Si Secop "/>
    <s v="20260696-BS-8173-2--Adquisición de semovientes caninos para el grupo BRAE, destinados al entrenamiento de búsqueda y localización cinotécnica   para la atención de emergencias de la UAE Cuerpo Oficial de Bomberos de Bogota, s.o."/>
  </r>
  <r>
    <n v="20260698"/>
    <s v="Prestación del servicio de mantenimiento preventivo y correctivo de los equipos de respiración autónoma interspiro propiedad de la UAECOB, incluido el suministro de repuestos, insumos mano de obra especializada –SBLG"/>
    <s v="09 - contratación directa"/>
    <x v="1"/>
    <s v="03 - contrato de prestacion de servicios"/>
    <s v="JUNIO"/>
    <n v="4"/>
    <n v="0"/>
    <n v="160000000"/>
    <s v="NO"/>
    <s v="Sub. Logística"/>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698-BS-8173-4--Prestación del servicio de mantenimiento preventivo y correctivo de los equipos de respiración autónoma interspiro propiedad de la UAECOB, incluido el suministro de repuestos, insumos mano de obra especializada –SBLG"/>
  </r>
  <r>
    <n v="20260700"/>
    <s v="Adición y prórroga del contrato 253-2025 cuyo objeto es: Contratar el servicio de soporte y mantenimiento del sistema de gestión documental para la UAE Cuerpo Oficial de Bomberos de Bogotá- TIC."/>
    <s v="09 - contratación directa"/>
    <x v="1"/>
    <s v="13 - orden de servicio"/>
    <s v="MAYO"/>
    <n v="3"/>
    <n v="0"/>
    <n v="50700000"/>
    <s v="NO"/>
    <s v="Dirección Tic"/>
    <s v="Paula Ximena Henao Escobar"/>
    <x v="0"/>
    <s v="Subdirector@ de Gestión Corporativa"/>
    <x v="0"/>
    <s v="43233000;811122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MAYO"/>
    <n v="2"/>
    <n v="0"/>
    <n v="14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x v="1"/>
    <s v="03 - contrato de prestacion de servicios"/>
    <s v="MAYO"/>
    <n v="12"/>
    <n v="0"/>
    <n v="640816367"/>
    <s v="NO"/>
    <s v="Dirección Tic"/>
    <s v="Paula Ximena Henao Escobar"/>
    <x v="1"/>
    <s v="Subdirector@ de Gestión Corporativa"/>
    <x v="1"/>
    <s v="43231512;81112501"/>
    <s v="No aplica"/>
    <s v="No a"/>
    <s v="li"/>
    <s v="NA"/>
    <s v="NA"/>
    <s v="NA"/>
    <s v="N/A"/>
    <s v="N/A"/>
    <s v="N/A-N/A"/>
    <s v="N/A"/>
    <s v="N/A"/>
    <s v="N/A_N/A"/>
    <s v="N/A-N/A N/A_N/A"/>
    <s v="NANANAN/AN/A"/>
    <s v="N/A"/>
    <s v="O21202020080383141 Servicios de diseño y desarrollo de aplicaciones en tecnologías de la información (TI)"/>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x v="1"/>
    <s v="19 - contrato de renovacion de licencias"/>
    <s v="NOVIEMBRE"/>
    <n v="12"/>
    <n v="0"/>
    <n v="95044968"/>
    <s v="NO"/>
    <s v="Dirección Tic"/>
    <s v="Paula Ximena Henao Escobar"/>
    <x v="1"/>
    <s v="Subdirector@ de Gestión Corporativa"/>
    <x v="1"/>
    <n v="81112217"/>
    <s v="No aplica"/>
    <s v="No a"/>
    <s v="li"/>
    <s v="NA"/>
    <s v="NA"/>
    <s v="NA"/>
    <s v="N/A"/>
    <s v="N/A"/>
    <s v="N/A-N/A"/>
    <s v="N/A"/>
    <s v="N/A"/>
    <s v="N/A_N/A"/>
    <s v="N/A-N/A N/A_N/A"/>
    <s v="NANANAN/AN/A"/>
    <s v="N/A"/>
    <s v="O21202020080383141 Servicios de diseño y desarrollo de aplicaciones en tecnologías de la información (TI)"/>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x v="1"/>
    <s v="08 - contrato de suministro"/>
    <s v="JULIO"/>
    <n v="12"/>
    <n v="0"/>
    <n v="205000000"/>
    <s v="NO"/>
    <s v="Dirección Tic"/>
    <s v="Paula Ximena Henao Escobar"/>
    <x v="1"/>
    <s v="Subdirector@ de Gestión Corporativa"/>
    <x v="1"/>
    <n v="44103100"/>
    <s v="No aplica"/>
    <s v="No a"/>
    <s v="li"/>
    <s v="NA"/>
    <s v="NA"/>
    <s v="NA"/>
    <s v="N/A"/>
    <s v="N/A"/>
    <s v="N/A-N/A"/>
    <s v="N/A"/>
    <s v="N/A"/>
    <s v="N/A_N/A"/>
    <s v="N/A-N/A N/A_N/A"/>
    <s v="NANANAN/AN/A"/>
    <s v="N/A"/>
    <s v="O21202020080383141 Servicios de diseño y desarrollo de aplicaciones en tecnologías de la información (TI)"/>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x v="1"/>
    <s v="06 - contrato de compraventa"/>
    <s v="OCTUBRE"/>
    <n v="12"/>
    <n v="0"/>
    <n v="55695000"/>
    <s v="NO"/>
    <s v="Dirección Tic"/>
    <s v="Paula Ximena Henao Escobar"/>
    <x v="1"/>
    <s v="Subdirector@ de Gestión Corporativa"/>
    <x v="1"/>
    <n v="43222635"/>
    <s v="No aplica"/>
    <s v="No a"/>
    <s v="li"/>
    <s v="NA"/>
    <s v="NA"/>
    <s v="NA"/>
    <s v="N/A"/>
    <s v="N/A"/>
    <s v="N/A-N/A"/>
    <s v="N/A"/>
    <s v="N/A"/>
    <s v="N/A_N/A"/>
    <s v="N/A-N/A N/A_N/A"/>
    <s v="NANANAN/AN/A"/>
    <s v="N/A"/>
    <s v="O21202020080383141 Servicios de diseño y desarrollo de aplicaciones en tecnologías de la información (TI)"/>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x v="1"/>
    <s v="19 - contrato de renovacion de licencias"/>
    <s v="OCTUBRE"/>
    <n v="12"/>
    <n v="0"/>
    <n v="19462500"/>
    <s v="NO"/>
    <s v="Dirección Tic"/>
    <s v="Paula Ximena Henao Escobar"/>
    <x v="1"/>
    <s v="Subdirector@ de Gestión Corporativa"/>
    <x v="1"/>
    <s v="81112501; 43232102; 43231512; 81111808; 81111805; 81112217"/>
    <s v="No aplica"/>
    <s v="No a"/>
    <s v="li"/>
    <s v="NA"/>
    <s v="NA"/>
    <s v="NA"/>
    <s v="N/A"/>
    <s v="N/A"/>
    <s v="N/A-N/A"/>
    <s v="N/A"/>
    <s v="N/A"/>
    <s v="N/A_N/A"/>
    <s v="N/A-N/A N/A_N/A"/>
    <s v="NANANAN/AN/A"/>
    <s v="N/A"/>
    <s v="O21202020080383141 Servicios de diseño y desarrollo de aplicaciones en tecnologías de la información (TI)"/>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
    <s v="09 - contratación directa"/>
    <x v="1"/>
    <s v="09 - convenio interadministrativo"/>
    <s v="JULIO"/>
    <n v="12"/>
    <n v="0"/>
    <n v="345297598"/>
    <s v="NO"/>
    <s v="Dirección Tic"/>
    <s v="Paula Ximena Henao Escobar"/>
    <x v="1"/>
    <s v="Subdirector@ de Gestión Corporativa"/>
    <x v="1"/>
    <s v="81111500; 81111900; 81112200; 43232400; 43231500; 43231500; 81111508; 81111509; 46171600; 81111805"/>
    <s v="No aplica"/>
    <s v="No a"/>
    <s v="li"/>
    <s v="NA"/>
    <s v="NA"/>
    <s v="NA"/>
    <s v="N/A"/>
    <s v="N/A"/>
    <s v="N/A-N/A"/>
    <s v="N/A"/>
    <s v="N/A"/>
    <s v="N/A_N/A"/>
    <s v="N/A-N/A N/A_N/A"/>
    <s v="NANANAN/AN/A"/>
    <s v="N/A"/>
    <s v="O21202020080383141 Servicios de diseño y desarrollo de aplicaciones en tecnologías de la información (TI)"/>
    <s v="Si Secop "/>
    <s v="20260709-BS-No a-li-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
  </r>
  <r>
    <n v="20260711"/>
    <s v="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JULIO"/>
    <n v="5"/>
    <n v="0"/>
    <n v="1642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x v="0"/>
    <s v="25 - contrato de prestacion de servicios profesionales"/>
    <s v="AGOSTO"/>
    <n v="4"/>
    <n v="15"/>
    <n v="360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2-TH-8173-1--Prestación de servicios profesionales a la Subdirección Operativa,  en el componente jurídico, para el adecuado alcance de las metas e indicadores asignados, brindando plena aplicación a la normatividad vigente-S.O."/>
  </r>
  <r>
    <n v="20260714"/>
    <s v="Prestar los servicios de  apoyo para el proceso de comunicaciones en emergencias del centro de coordinación y comunicaciones (c.c.c.), para el desarrollo de los programas a cargo de la Subdirección Operativa-S.O."/>
    <s v="09 - contratación directa"/>
    <x v="0"/>
    <s v="26 - contrato de prestacion de servicios de apoyo a la gestion"/>
    <s v="AGOSTO"/>
    <n v="4"/>
    <n v="15"/>
    <n v="10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x v="0"/>
    <s v="26 - contrato de prestacion de servicios de apoyo a la gestion"/>
    <s v="AGOSTO"/>
    <n v="4"/>
    <n v="0"/>
    <n v="14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x v="0"/>
    <s v="26 - contrato de prestacion de servicios de apoyo a la gestion"/>
    <s v="AGOSTO"/>
    <n v="4"/>
    <n v="0"/>
    <n v="12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x v="0"/>
    <s v="26 - contrato de prestacion de servicios de apoyo a la gestion"/>
    <s v="SEPTIEMBRE"/>
    <n v="4"/>
    <n v="0"/>
    <n v="14744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x v="0"/>
    <s v="25 - contrato de prestacion de servicios profesionales"/>
    <s v="SEPTIEMBRE"/>
    <n v="3"/>
    <n v="0"/>
    <n v="21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x v="0"/>
    <s v="25 - contrato de prestacion de servicios profesionales"/>
    <s v="AGOSTO"/>
    <n v="4"/>
    <n v="0"/>
    <n v="20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x v="0"/>
    <s v="25 - contrato de prestacion de servicios profesionales"/>
    <s v="AGOSTO"/>
    <n v="4"/>
    <n v="0"/>
    <n v="32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x v="0"/>
    <s v="25 - contrato de prestacion de servicios profesionales"/>
    <s v="AGOSTO"/>
    <n v="4"/>
    <n v="0"/>
    <n v="18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x v="0"/>
    <s v="25 - contrato de prestacion de servicios profesionales"/>
    <s v="AGOSTO"/>
    <n v="4"/>
    <n v="0"/>
    <n v="224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x v="0"/>
    <s v="25 - contrato de prestacion de servicios profesionales"/>
    <s v="AGOSTO"/>
    <n v="4"/>
    <n v="0"/>
    <n v="36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x v="0"/>
    <s v="25 - contrato de prestacion de servicios profesionales"/>
    <s v="AGOSTO"/>
    <n v="4"/>
    <n v="0"/>
    <n v="28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x v="0"/>
    <s v="25 - contrato de prestacion de servicios profesionales"/>
    <s v="AGOSTO"/>
    <n v="4"/>
    <n v="0"/>
    <n v="22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x v="0"/>
    <s v="25 - contrato de prestacion de servicios profesionales"/>
    <s v="SEPTIEMBRE"/>
    <n v="3"/>
    <n v="0"/>
    <n v="216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x v="0"/>
    <s v="26 - contrato de prestacion de servicios de apoyo a la gestion"/>
    <s v="SEPTIEMBRE"/>
    <n v="3"/>
    <n v="0"/>
    <n v="99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x v="0"/>
    <s v="25 - contrato de prestacion de servicios profesionales"/>
    <s v="SEPTIEMBRE"/>
    <n v="3"/>
    <n v="15"/>
    <n v="22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1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x v="0"/>
    <s v="26 - contrato de prestacion de servicios de apoyo a la gestion"/>
    <s v="SEPTIEMBRE"/>
    <n v="3"/>
    <n v="0"/>
    <n v="11059473"/>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x v="0"/>
    <s v="26 - contrato de prestacion de servicios de apoyo a la gestion"/>
    <s v="SEPTIEMBRE"/>
    <n v="3"/>
    <n v="0"/>
    <n v="9852984"/>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SEPTIEMBRE"/>
    <n v="3"/>
    <n v="0"/>
    <n v="897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x v="0"/>
    <s v="26 - contrato de prestacion de servicios de apoyo a la gestion"/>
    <s v="OCTUBRE"/>
    <n v="2"/>
    <n v="0"/>
    <n v="598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1"/>
    <n v="0"/>
    <n v="31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OCTUBRE"/>
    <n v="2"/>
    <n v="0"/>
    <n v="62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MAYO"/>
    <n v="12"/>
    <n v="0"/>
    <n v="15000000"/>
    <s v="NO"/>
    <s v="Sub. Logística"/>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x v="1"/>
    <s v="03 - contrato de prestacion de servicios"/>
    <s v="MAYO"/>
    <n v="12"/>
    <n v="0"/>
    <n v="1569006"/>
    <s v="NO"/>
    <s v="Sub. Logística"/>
    <s v="Omer Mauricio Rivera Ruiz"/>
    <x v="1"/>
    <s v="Subdirector@ de Gestión Corporativa"/>
    <x v="1"/>
    <n v="78181505"/>
    <s v="No aplica"/>
    <s v="No a"/>
    <s v="li"/>
    <s v="NA"/>
    <s v="NA"/>
    <s v="NA"/>
    <s v="N/A"/>
    <s v="N/A"/>
    <s v="N/A-N/A"/>
    <s v="N/A"/>
    <s v="N/A"/>
    <s v="N/A_N/A"/>
    <s v="N/A-N/A N/A_N/A"/>
    <s v="NANANAN/AN/A"/>
    <s v="N/A"/>
    <s v="No Aplica"/>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x v="0"/>
    <s v="25 - contrato de prestacion de servicios profesionales"/>
    <s v="MAYO"/>
    <n v="3"/>
    <n v="0"/>
    <n v="15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x v="1"/>
    <s v="03 - contrato de prestacion de servicios"/>
    <s v="MAYO"/>
    <n v="4"/>
    <n v="0"/>
    <n v="150000000"/>
    <s v="NO"/>
    <s v="Sub. Gestión Humana"/>
    <s v="Jose Andres Ponce Caicedo"/>
    <x v="1"/>
    <s v="Subdirector@ de Gestión Corporativa"/>
    <x v="1"/>
    <s v="85121503;85121603;85121604;85121608;85121610;85121611;85121612;85121702;85122201"/>
    <s v="No aplica"/>
    <s v="No a"/>
    <s v="li"/>
    <s v="NA"/>
    <s v="NA"/>
    <s v="NA"/>
    <s v="N/A"/>
    <s v="N/A"/>
    <s v="N/A-N/A"/>
    <s v="N/A"/>
    <s v="N/A"/>
    <s v="N/A_N/A"/>
    <s v="N/A-N/A N/A_N/A"/>
    <s v="NANANAN/AN/A"/>
    <s v="N/A"/>
    <s v="No Aplica"/>
    <s v="No Secop"/>
    <s v="20260758-BS-No a-li-Adición y Prórroga CONTRATO DE PRESTACION DE SERVICIOS 560 DE 2025 cuyo objeto es &quot;SGH -Contratar la realización de los exámenes Médicos Ocupacionales para el personal de la UAE Cuerpo Oficial de Bomberos de Bogotá&quot;"/>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ENERO"/>
    <n v="2"/>
    <n v="0"/>
    <n v="1032217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32733508"/>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x v="1"/>
    <s v="06 - contrato de compraventa"/>
    <s v="JUNIO"/>
    <n v="1"/>
    <n v="0"/>
    <n v="10760832"/>
    <s v="NO"/>
    <s v="Sub. Gestión Corporativa"/>
    <s v="Fatima Veronica Quintero Nuñez"/>
    <x v="2"/>
    <s v="Subdirector@ de Gestión del Riesgo"/>
    <x v="0"/>
    <s v="72154000;_x000a_55121900;_x000a_60121400;_x000a_52101500;_x000a_551217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23262002 Carteles y avisos"/>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x v="1"/>
    <s v="06 - contrato de compraventa"/>
    <s v="MAYO"/>
    <n v="1"/>
    <n v="0"/>
    <n v="47790000"/>
    <s v="NO"/>
    <s v="Sub. Gestión Corporativa"/>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x v="1"/>
    <s v="12 - resolucion"/>
    <s v="MAYO"/>
    <n v="0"/>
    <n v="0"/>
    <n v="11378345"/>
    <s v="NO"/>
    <s v="Sub. Gestión Corporativa"/>
    <s v="Fatima Veronica Quintero Nuñez"/>
    <x v="2"/>
    <s v="Subdirector@ de Gestión del Riesgo"/>
    <x v="5"/>
    <s v="N/A"/>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88715602 Servicio de mantenimiento y reparación de equipos de fuerza hidráulica y de potencia neumática, bombas, compresores y válvulas"/>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17 - acuerdo marco de precios"/>
    <x v="1"/>
    <s v="01 - orden de compra"/>
    <s v="JULIO"/>
    <n v="3"/>
    <n v="0"/>
    <n v="20000000"/>
    <s v="NO"/>
    <s v="Sub. Gestión Riesgos"/>
    <s v="William Tovar Segura"/>
    <x v="2"/>
    <s v="Subdirector@ de Gestión del Riesgo"/>
    <x v="0"/>
    <s v="27112001, 27112074,27112000,27112027,46181500,46181701"/>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1010030208 Otra maquinaria para usos especiales y sus partes y piezas"/>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x v="1"/>
    <s v="13 - orden de servicio"/>
    <s v="AGOSTO"/>
    <n v="12"/>
    <n v="0"/>
    <n v="60013535"/>
    <s v="NO"/>
    <s v="Dirección Tic"/>
    <s v="Paula Ximena Henao Escobar"/>
    <x v="1"/>
    <s v="Subdirector@ de Gestión Corporativa"/>
    <x v="1"/>
    <s v="43233000;81112200"/>
    <s v="No aplica"/>
    <s v="No a"/>
    <s v="li"/>
    <s v="NA"/>
    <s v="NA"/>
    <s v="NA"/>
    <s v="N/A"/>
    <s v="N/A"/>
    <s v="N/A-N/A"/>
    <s v="N/A"/>
    <s v="N/A"/>
    <s v="N/A_N/A"/>
    <s v="N/A-N/A N/A_N/A"/>
    <s v="NANANAN/AN/A"/>
    <s v="N/A"/>
    <s v="O21202020080383141 Servicios de diseño y desarrollo de aplicaciones en tecnologías de la información (TI)"/>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x v="0"/>
    <s v="25 - contrato de prestacion de servicios profesionales"/>
    <s v="JULIO"/>
    <n v="5"/>
    <n v="9"/>
    <n v="2915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x v="0"/>
    <s v="25 - contrato de prestacion de servicios profesionales"/>
    <s v="JULIO"/>
    <n v="6"/>
    <n v="22"/>
    <n v="54466667"/>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x v="0"/>
    <s v="25 - contrato de prestacion de servicios profesionales"/>
    <s v="AGOSTO"/>
    <n v="3"/>
    <n v="0"/>
    <n v="21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x v="0"/>
    <s v="26 - contrato de prestacion de servicios de apoyo a la gestion"/>
    <s v="JULIO"/>
    <n v="5"/>
    <n v="15"/>
    <n v="24695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x v="0"/>
    <s v="25 - contrato de prestacion de servicios profesionales"/>
    <s v="AGOSTO"/>
    <n v="3"/>
    <n v="0"/>
    <n v="15000000"/>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x v="0"/>
    <s v="25 - contrato de prestacion de servicios profesionales"/>
    <s v="NOVIEMBRE"/>
    <n v="2"/>
    <n v="0"/>
    <n v="10322174"/>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x v="0"/>
    <s v="26 - contrato de prestacion de servicios de apoyo a la gestion"/>
    <s v="AGOSTO"/>
    <n v="4"/>
    <n v="22"/>
    <n v="18933333"/>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x v="0"/>
    <s v="25 - contrato de prestacion de servicios profesionales"/>
    <s v="DICIEMBRE"/>
    <n v="0"/>
    <n v="25"/>
    <n v="4583333"/>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x v="0"/>
    <s v="25 - contrato de prestacion de servicios profesionales"/>
    <s v="DICIEMBRE"/>
    <n v="0"/>
    <n v="22"/>
    <n v="572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x v="0"/>
    <s v="25 - contrato de prestacion de servicios profesionales"/>
    <s v="NOVIEMBRE"/>
    <n v="1"/>
    <n v="5"/>
    <n v="6021167"/>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x v="0"/>
    <s v="25 - contrato de prestacion de servicios profesionales"/>
    <s v="JULIO"/>
    <n v="5"/>
    <n v="4"/>
    <n v="30800000"/>
    <s v="NO"/>
    <s v="Dirección Tic"/>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x v="0"/>
    <s v="25 - contrato de prestacion de servicios profesionales"/>
    <s v="SEPTIEMBRE"/>
    <n v="3"/>
    <n v="18"/>
    <n v="24624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x v="0"/>
    <s v="25 - contrato de prestacion de servicios profesionales"/>
    <s v="OCTUBRE "/>
    <n v="4"/>
    <n v="0"/>
    <n v="2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x v="0"/>
    <s v="25 - contrato de prestacion de servicios profesionales"/>
    <s v="SEPTIEMBRE"/>
    <n v="3"/>
    <n v="0"/>
    <n v="15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x v="0"/>
    <s v="25 - contrato de prestacion de servicios profesionales"/>
    <s v="SEPTIEMBRE"/>
    <n v="4"/>
    <n v="0"/>
    <n v="2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OCTUBRE "/>
    <n v="2"/>
    <n v="0"/>
    <n v="1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x v="0"/>
    <s v="25 - contrato de prestacion de servicios profesionales"/>
    <s v="DICIEMBRE"/>
    <n v="2"/>
    <n v="0"/>
    <n v="1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x v="0"/>
    <s v="25 - contrato de prestacion de servicios profesionales"/>
    <s v="OCTUBRE "/>
    <n v="3"/>
    <n v="0"/>
    <n v="273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x v="0"/>
    <s v="25 - contrato de prestacion de servicios profesionales"/>
    <s v="OCTUBRE "/>
    <n v="2"/>
    <n v="0"/>
    <n v="1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x v="0"/>
    <s v="25 - contrato de prestacion de servicios profesionales"/>
    <s v="SEPTIEMBRE"/>
    <n v="3"/>
    <n v="0"/>
    <n v="1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x v="0"/>
    <s v="25 - contrato de prestacion de servicios profesionales"/>
    <s v="SEPTIEMBRE"/>
    <n v="2"/>
    <n v="15"/>
    <n v="15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x v="0"/>
    <s v="25 - contrato de prestacion de servicios profesionales"/>
    <s v="NOVIEMBRE"/>
    <n v="1"/>
    <n v="0"/>
    <n v="7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5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2"/>
    <n v="0"/>
    <n v="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x v="0"/>
    <s v="26 - contrato de prestacion de servicios de apoyo a la gestion"/>
    <s v="SEPTIEMBRE"/>
    <n v="2"/>
    <n v="0"/>
    <n v="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2"/>
    <n v="0"/>
    <n v="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1"/>
    <n v="0"/>
    <n v="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x v="0"/>
    <s v="26 - contrato de prestacion de servicios de apoyo a la gestion"/>
    <s v="OCTUBRE "/>
    <n v="3"/>
    <n v="0"/>
    <n v="1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x v="0"/>
    <s v="25 - contrato de prestacion de servicios profesionales"/>
    <s v="SEPTIEMBRE"/>
    <n v="3"/>
    <n v="0"/>
    <n v="21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x v="0"/>
    <s v="25 - contrato de prestacion de servicios profesionales"/>
    <s v="OCTUBRE "/>
    <n v="3"/>
    <n v="0"/>
    <n v="11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x v="0"/>
    <s v="25 - contrato de prestacion de servicios profesionales"/>
    <s v="OCTUBRE "/>
    <n v="4"/>
    <n v="0"/>
    <n v="2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x v="0"/>
    <s v="25 - contrato de prestacion de servicios profesionales"/>
    <s v="OCTUBRE "/>
    <n v="3"/>
    <n v="0"/>
    <n v="1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x v="0"/>
    <s v="25 - contrato de prestacion de servicios profesionales"/>
    <s v="AGOSTO"/>
    <n v="6"/>
    <n v="0"/>
    <n v="30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x v="0"/>
    <s v="25 - contrato de prestacion de servicios profesionales"/>
    <s v="SEPTIEMBRE"/>
    <n v="5"/>
    <n v="0"/>
    <n v="27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x v="0"/>
    <s v="25 - contrato de prestacion de servicios profesionales"/>
    <s v="SEPTIEMBRE"/>
    <n v="4"/>
    <n v="0"/>
    <n v="1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x v="0"/>
    <s v="25 - contrato de prestacion de servicios profesionales"/>
    <s v="SEPTIEMBRE"/>
    <n v="2"/>
    <n v="0"/>
    <n v="11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x v="1"/>
    <s v="03 - contrato de prestacion de servicios"/>
    <s v="JUNIO"/>
    <n v="1"/>
    <n v="0"/>
    <n v="80000000"/>
    <s v="NO"/>
    <s v="Sub. Gestión Corporativa"/>
    <s v="Fatima Veronica Quintero Nuñez"/>
    <x v="2"/>
    <s v="Subdirector@ de Gestión del Riesgo"/>
    <x v="0"/>
    <s v="72151800;_x000a_72151500;_x000a_731521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x v="1"/>
    <s v="03 - contrato de prestacion de servicios"/>
    <s v="MAYO"/>
    <n v="2"/>
    <n v="0"/>
    <n v="52960812"/>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x v="1"/>
    <s v="12 - resolucion"/>
    <s v="OCTUBRE"/>
    <n v="0"/>
    <n v="0"/>
    <n v="127172575"/>
    <s v="NO"/>
    <s v="Sub. Gestión Corporativa"/>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x v="0"/>
    <s v="25 - contrato de prestacion de servicios profesionales"/>
    <s v="AGOSTO"/>
    <n v="5"/>
    <n v="0"/>
    <n v="325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x v="0"/>
    <s v="25 - contrato de prestacion de servicios profesionales"/>
    <s v="DICIEMBRE"/>
    <n v="1"/>
    <n v="0"/>
    <n v="10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x v="0"/>
    <s v="25 - contrato de prestacion de servicios profesionales"/>
    <s v="SEPTIEMBRE"/>
    <n v="3"/>
    <n v="0"/>
    <n v="126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x v="0"/>
    <s v="25 - contrato de prestacion de servicios profesionales"/>
    <s v="DICIEMBRE"/>
    <n v="1"/>
    <n v="0"/>
    <n v="9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x v="0"/>
    <s v="25 - contrato de prestacion de servicios profesionales"/>
    <s v="DICIEMBRE"/>
    <n v="1"/>
    <n v="0"/>
    <n v="8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x v="0"/>
    <s v="25 - contrato de prestacion de servicios profesionales"/>
    <s v="OCTUBRE"/>
    <n v="3"/>
    <n v="0"/>
    <n v="21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x v="0"/>
    <s v="25 - contrato de prestacion de servicios profesionales"/>
    <s v="SEPTIEMBRE"/>
    <n v="2"/>
    <n v="0"/>
    <n v="13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x v="0"/>
    <s v="25 - contrato de prestacion de servicios profesionales"/>
    <s v="AGOSTO"/>
    <n v="5"/>
    <n v="0"/>
    <n v="500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x v="0"/>
    <s v="25 - contrato de prestacion de servicios profesionales"/>
    <s v="AGOSTO"/>
    <n v="5"/>
    <n v="0"/>
    <n v="335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x v="0"/>
    <s v="26 - contrato de prestacion de servicios de apoyo a la gestion"/>
    <s v="SEPTIEMBRE"/>
    <n v="4"/>
    <n v="0"/>
    <n v="17963264"/>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x v="0"/>
    <s v="25 - contrato de prestacion de servicios profesionales"/>
    <s v="SEPTIEMBRE"/>
    <n v="3"/>
    <n v="0"/>
    <n v="21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x v="0"/>
    <s v="26 - contrato de prestacion de servicios de apoyo a la gestion"/>
    <s v="OCTUBRE"/>
    <n v="3"/>
    <n v="0"/>
    <n v="21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x v="0"/>
    <s v="25 - contrato de prestacion de servicios profesionales"/>
    <s v="OCTUBRE"/>
    <n v="3"/>
    <n v="0"/>
    <n v="21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x v="0"/>
    <s v="25 - contrato de prestacion de servicios profesionales"/>
    <s v="OCTUBRE"/>
    <n v="3"/>
    <n v="15"/>
    <n v="245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x v="0"/>
    <s v="25 - contrato de prestacion de servicios profesionales"/>
    <s v="OCTUBRE"/>
    <n v="3"/>
    <n v="0"/>
    <n v="165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x v="0"/>
    <s v="25 - contrato de prestacion de servicios profesionales"/>
    <s v="OCTUBRE"/>
    <n v="3"/>
    <n v="0"/>
    <n v="12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x v="0"/>
    <s v="25 - contrato de prestacion de servicios profesionales"/>
    <s v="OCTUBRE"/>
    <n v="3"/>
    <n v="0"/>
    <n v="1125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x v="0"/>
    <s v="25 - contrato de prestacion de servicios profesionales"/>
    <s v="OCTUBRE"/>
    <n v="3"/>
    <n v="0"/>
    <n v="273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x v="1"/>
    <s v="08 - contrato de suministro"/>
    <s v="MAYO"/>
    <n v="8"/>
    <n v="0"/>
    <n v="3530000"/>
    <s v="NO"/>
    <s v="Sub. Logística"/>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x v="1"/>
    <s v="08 - contrato de suministro"/>
    <s v="MAYO"/>
    <n v="8"/>
    <n v="0"/>
    <n v="6100000"/>
    <s v="NO"/>
    <s v="Sub. Logística"/>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x v="0"/>
    <s v="25 - contrato de prestacion de servicios profesionales"/>
    <s v="ENERO"/>
    <n v="8"/>
    <n v="0"/>
    <n v="4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x v="0"/>
    <s v="25 - contrato de prestacion de servicios profesionales"/>
    <s v="JULIO"/>
    <n v="4"/>
    <n v="0"/>
    <n v="248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x v="0"/>
    <s v="25 - contrato de prestacion de servicios profesionales"/>
    <s v="JULIO"/>
    <n v="4"/>
    <n v="0"/>
    <n v="216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x v="1"/>
    <s v="17 - contrato de mantenimiento"/>
    <s v="JUNIO"/>
    <n v="6"/>
    <n v="0"/>
    <n v="500000000"/>
    <s v="NO"/>
    <s v="Sub. Logística"/>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x v="1"/>
    <s v="03 - contrato de prestacion de servicios"/>
    <s v="AGOSTO"/>
    <n v="10"/>
    <n v="0"/>
    <n v="192652750"/>
    <s v="NO"/>
    <s v="Sub. Gestión Humana"/>
    <s v="Jose Andres Ponce Caicedo"/>
    <x v="1"/>
    <s v="Subdirector@ de Gestión Corporativa"/>
    <x v="1"/>
    <s v="90101600;90111600;90141700;90151700"/>
    <s v="No aplica"/>
    <s v="No a"/>
    <s v="li"/>
    <s v="NA"/>
    <s v="NA"/>
    <s v="NA"/>
    <s v="N/A"/>
    <s v="N/A"/>
    <s v="N/A-N/A"/>
    <s v="N/A"/>
    <s v="N/A"/>
    <s v="N/A_N/A"/>
    <s v="N/A-N/A N/A_N/A"/>
    <s v="NANANAN/AN/A"/>
    <s v="N/A"/>
    <s v="No Aplica"/>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x v="1"/>
    <s v="03 - contrato de prestacion de servicios"/>
    <s v="AGOSTO"/>
    <n v="5"/>
    <n v="0"/>
    <n v="15347250"/>
    <s v="NO"/>
    <s v="Sub. Gestión Humana"/>
    <s v="Jose Andres Ponce Caicedo"/>
    <x v="1"/>
    <s v="Subdirector@ de Gestión Corporativa"/>
    <x v="1"/>
    <s v="85121600_x000a_85121500_x000a_85122000_x000a_85122201_x000a_85101600"/>
    <s v="No aplica"/>
    <s v="No a"/>
    <s v="li"/>
    <s v="NA"/>
    <s v="NA"/>
    <s v="NA"/>
    <s v="N/A"/>
    <s v="N/A"/>
    <s v="N/A-N/A"/>
    <s v="N/A"/>
    <s v="N/A"/>
    <s v="N/A_N/A"/>
    <s v="N/A-N/A N/A_N/A"/>
    <s v="NANANAN/AN/A"/>
    <s v="N/A"/>
    <s v="No Aplica"/>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x v="0"/>
    <s v="25 - contrato de prestacion de servicios profesionales"/>
    <s v="JULIO"/>
    <n v="3"/>
    <n v="0"/>
    <n v="195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JULIO"/>
    <n v="3"/>
    <n v="0"/>
    <n v="195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x v="0"/>
    <s v="25 - contrato de prestacion de servicios profesionales"/>
    <s v="DICIEMBRE"/>
    <n v="1"/>
    <n v="0"/>
    <n v="9200000"/>
    <s v="NO"/>
    <s v="Oficina Asesora de Planeación"/>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  Prestar servicios profesionales para el desarrollo de los contenidos graficos, piezas comunicativa y de imagen institucional para la Subdirección de Gestión del riesgo._SGR"/>
    <s v="09 - contratación directa"/>
    <x v="0"/>
    <s v="25 - contrato de prestacion de servicios profesionales"/>
    <s v="JUNIO"/>
    <n v="2"/>
    <n v="0"/>
    <n v="1474596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50-TH-8126-9--  Prestar servicios profesionales para el desarrollo de los contenidos graficos, piezas comunicativa y de imagen institucional para la Subdirección de Gestión del riesgo._SGR"/>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x v="0"/>
    <s v="25 - contrato de prestacion de servicios profesionales"/>
    <s v="NOVIEMBRE"/>
    <n v="1"/>
    <n v="10"/>
    <n v="107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x v="1"/>
    <s v="06 - contrato de compraventa"/>
    <s v="JULIO"/>
    <n v="6"/>
    <n v="0"/>
    <n v="3555500000"/>
    <s v="NO"/>
    <s v="Sub. Operativa"/>
    <s v="Yenire Yohansy Lozano Ascanio"/>
    <x v="1"/>
    <s v="Subdirector@ de Gestión Corporativa"/>
    <x v="1"/>
    <s v="46181500;_x000a_46181600"/>
    <s v="No aplica"/>
    <s v="No a"/>
    <s v="li"/>
    <s v="NA"/>
    <s v="NA"/>
    <s v="NA"/>
    <s v="N/A"/>
    <s v="N/A"/>
    <s v="N/A-N/A"/>
    <s v="N/A"/>
    <s v="N/A"/>
    <s v="N/A_N/A"/>
    <s v="N/A-N/A N/A_N/A"/>
    <s v="NANANAN/AN/A"/>
    <s v="N/A"/>
    <s v="O2120201002082823609    Uniformes de trabajo"/>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x v="0"/>
    <s v="26 - contrato de prestacion de servicios de apoyo a la gestion"/>
    <s v="NOVIEMBRE"/>
    <n v="1"/>
    <n v="15"/>
    <n v="565004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x v="0"/>
    <s v="26 - contrato de prestacion de servicios de apoyo a la gestion"/>
    <s v="NOVIEMBRE"/>
    <n v="3"/>
    <n v="15"/>
    <n v="1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4-TH-8173-1--Adicion y prorroga cto 243-2026 Prestar servicios de apoyo para el seguimiento y respuesta de requerimientos ciudadanos relacionados con la misionalidad de la Subdirección de Gestión del Riesgo_SGR"/>
  </r>
  <r>
    <n v="20260855"/>
    <s v="  Prestar servicios profesionales para el desarrollo de los contenidos graficos, piezas comunicativa y de imagen institucional para la Subdirección de Gestión del riesgo._SGR"/>
    <s v="09 - contratación directa"/>
    <x v="0"/>
    <s v="25 - contrato de prestacion de servicios profesionales"/>
    <s v="SEPTIEMBRE"/>
    <n v="4"/>
    <n v="0"/>
    <n v="20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55-TH-8173-1--  Prestar servicios profesionales para el desarrollo de los contenidos graficos, piezas comunicativa y de imagen institucional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375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x v="0"/>
    <s v="25 - contrato de prestacion de servicios profesionales"/>
    <s v="NOVIEMBRE"/>
    <n v="3"/>
    <n v="0"/>
    <n v="165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x v="0"/>
    <s v="25 - contrato de prestacion de servicios profesionales"/>
    <s v="NOVIEMBRE"/>
    <n v="3"/>
    <n v="0"/>
    <n v="18000000"/>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x v="0"/>
    <s v="25 - contrato de prestacion de servicios profesionales"/>
    <s v="NOVIEMBRE"/>
    <n v="1"/>
    <n v="0"/>
    <n v="8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x v="0"/>
    <s v="25 - contrato de prestacion de servicios profesionales"/>
    <s v="JULIO"/>
    <n v="6"/>
    <n v="0"/>
    <n v="388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x v="0"/>
    <s v="25 - contrato de prestacion de servicios profesionales"/>
    <s v="AGOSTO"/>
    <n v="5"/>
    <n v="0"/>
    <n v="290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88 de 2026 cuyo objeto es: &quot;Prestar los servicios de apoyo para las gestiones documentales y administrativas requerida por la Oficina  Jurídica&quot;."/>
    <s v="09 - contratación directa"/>
    <x v="0"/>
    <s v="26 - contrato de prestacion de servicios de apoyo a la gestion"/>
    <s v="OCTUBRE"/>
    <n v="3"/>
    <n v="1"/>
    <n v="1092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2-TH-8126-9--Adiciòn y pròrroga al contrato 388 de 2026 cuyo objeto es: &quot;Prestar los servicios de apoyo para las gestiones documentales y administrativas requerida por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x v="0"/>
    <s v="25 - contrato de prestacion de servicios profesionales"/>
    <s v="OCTUBRE"/>
    <n v="3"/>
    <n v="0"/>
    <n v="2896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x v="0"/>
    <s v="25 - contrato de prestacion de servicios profesionales"/>
    <s v="NOVIEMBRE"/>
    <n v="1"/>
    <n v="21"/>
    <n v="17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x v="0"/>
    <s v="25 - contrato de prestacion de servicios profesionales"/>
    <s v="NOVIEMBRE"/>
    <n v="1"/>
    <n v="24"/>
    <n v="153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x v="0"/>
    <s v="25 - contrato de prestacion de servicios profesionales"/>
    <s v="NOVIEMBRE"/>
    <n v="2"/>
    <n v="0"/>
    <n v="17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OCTUBRE"/>
    <n v="2"/>
    <n v="15"/>
    <n v="14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x v="0"/>
    <s v="25 - contrato de prestacion de servicios profesionales"/>
    <s v="OCTUBRE"/>
    <n v="1"/>
    <n v="22"/>
    <n v="15600000"/>
    <s v="NO"/>
    <s v="Sub. Gestión Corporativa"/>
    <s v="Fatima Veronica Quintero Nuñez"/>
    <x v="2"/>
    <s v="Subdirector@ de Gestión del Riesgo"/>
    <x v="0"/>
    <n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x v="0"/>
    <s v="25 - contrato de prestacion de servicios profesionales"/>
    <s v="OCTUBRE"/>
    <n v="2"/>
    <n v="12"/>
    <n v="19200000"/>
    <s v="NO"/>
    <s v="Sub. Gestión Corporativa"/>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x v="0"/>
    <s v="25 - contrato de prestacion de servicios profesionales"/>
    <s v="OCTUBRE"/>
    <n v="2"/>
    <n v="15"/>
    <n v="16250000"/>
    <s v="NO"/>
    <s v="Sub. Gestión Corporativa"/>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x v="0"/>
    <s v="25 - contrato de prestacion de servicios profesionales"/>
    <s v="OCTUBRE"/>
    <n v="3"/>
    <n v="3"/>
    <n v="24800000"/>
    <s v="NO"/>
    <s v="Sub. Gestión Corporativa"/>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x v="0"/>
    <s v="25 - contrato de prestacion de servicios profesionales"/>
    <s v="JULIO"/>
    <n v="6"/>
    <n v="0"/>
    <n v="20400000"/>
    <s v="NO"/>
    <s v="Sub. Gestión Corporativa"/>
    <s v="Fatima Veronica Quintero Nuñez"/>
    <x v="2"/>
    <s v="Subdirector@ de Gestión del Riesgo"/>
    <x v="0"/>
    <n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x v="0"/>
    <s v="26 - contrato de prestacion de servicios de apoyo a la gestion"/>
    <s v="NOVIEMBRE"/>
    <n v="1"/>
    <n v="0"/>
    <n v="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x v="0"/>
    <s v="25 - contrato de prestacion de servicios profesionales"/>
    <s v="SEPTIEMBRE"/>
    <n v="3"/>
    <n v="0"/>
    <n v="27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79-TH-8173-1--Adicion y prorroga cto 269-2026 Prestar servicios profesionales  liderando los procesos de formacion y capacitacion de la subdirección de gestión del riesgo._SGR"/>
  </r>
  <r>
    <n v="20260880"/>
    <s v="Adicion y prorroga cto  265-2026 Prestar servicios profesionales en las actividades de Programas y Campañas de Prevención para la Subdirección de Gestión del Riesgo._SGR"/>
    <s v="09 - contratación directa"/>
    <x v="0"/>
    <s v="26 - contrato de prestacion de servicios de apoyo a la gestion"/>
    <s v="SEPTIEMBRE"/>
    <n v="2"/>
    <n v="15"/>
    <n v="15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80-TH-8173-1--Adicion y prorroga cto  265-2026 Prestar servicios profesionales en las actividades de Programas y Campañas de Prevención para la Subdirección de Gestión del Riesgo._SGR"/>
  </r>
  <r>
    <n v="20260881"/>
    <s v=" Adicion y prorroga cto 216-2026 Prestar servicios profesionales liderando las actividades de identificacion y caracterizacion  de escenarios  de riesgos a cargo de la Subdirección de Gestión del Riesgo._SGR"/>
    <s v="09 - contratación directa"/>
    <x v="0"/>
    <s v="25 - contrato de prestacion de servicios profesionales"/>
    <s v="SEPTIEMBRE"/>
    <n v="2"/>
    <n v="0"/>
    <n v="140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81-TH-8173-5-- Adicion y prorroga cto 216-2026 Prestar servicios profesionales liderando las actividades de identificacion y caracterizacion  de escenarios  de riesgos a cargo de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x v="0"/>
    <s v="26 - contrato de prestacion de servicios de apoyo a la gestion"/>
    <s v="OCTUBRE"/>
    <n v="1"/>
    <n v="0"/>
    <n v="4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SEPTIEMBRE"/>
    <n v="3"/>
    <n v="0"/>
    <n v="201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x v="0"/>
    <s v="25 - contrato de prestacion de servicios profesionales"/>
    <s v="JULIO"/>
    <n v="4"/>
    <n v="0"/>
    <n v="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x v="0"/>
    <s v="25 - contrato de prestacion de servicios profesionales"/>
    <s v="JULIO"/>
    <n v="4"/>
    <n v="0"/>
    <n v="248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x v="0"/>
    <s v="25 - contrato de prestacion de servicios profesionales"/>
    <s v="JULIO"/>
    <n v="3"/>
    <n v="0"/>
    <n v="2475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x v="0"/>
    <s v="25 - contrato de prestacion de servicios profesionales"/>
    <s v="JULIO"/>
    <n v="3"/>
    <n v="0"/>
    <n v="204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x v="0"/>
    <s v="25 - contrato de prestacion de servicios profesionales"/>
    <s v="AGOSTO"/>
    <n v="3"/>
    <n v="0"/>
    <n v="306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x v="0"/>
    <s v="25 - contrato de prestacion de servicios profesionales"/>
    <s v="JULIO"/>
    <n v="4"/>
    <n v="0"/>
    <n v="28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x v="0"/>
    <s v="25 - contrato de prestacion de servicios profesionales"/>
    <s v="JULIO"/>
    <n v="4"/>
    <n v="0"/>
    <n v="23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x v="0"/>
    <s v="25 - contrato de prestacion de servicios profesionales"/>
    <s v="JULIO"/>
    <n v="4"/>
    <n v="0"/>
    <n v="36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x v="0"/>
    <s v="25 - contrato de prestacion de servicios profesionales"/>
    <s v="AGOSTO"/>
    <n v="3"/>
    <n v="0"/>
    <n v="165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x v="0"/>
    <s v="25 - contrato de prestacion de servicios profesionales"/>
    <s v="AGOSTO"/>
    <n v="3"/>
    <n v="0"/>
    <n v="225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x v="0"/>
    <s v="25 - contrato de prestacion de servicios profesionales"/>
    <s v="SEPTIEMBRE"/>
    <n v="4"/>
    <n v="0"/>
    <n v="20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x v="0"/>
    <s v="25 - contrato de prestacion de servicios profesionales"/>
    <s v="AGOSTO"/>
    <n v="4"/>
    <n v="0"/>
    <n v="23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x v="0"/>
    <s v="25 - contrato de prestacion de servicios profesionales"/>
    <s v="AGOSTO"/>
    <n v="3"/>
    <n v="0"/>
    <n v="14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x v="0"/>
    <s v="25 - contrato de prestacion de servicios profesionales"/>
    <s v="AGOSTO"/>
    <n v="3"/>
    <n v="0"/>
    <n v="1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x v="0"/>
    <s v="25 - contrato de prestacion de servicios profesionales"/>
    <s v="AGOSTO"/>
    <n v="4"/>
    <n v="0"/>
    <n v="21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x v="0"/>
    <s v="25 - contrato de prestacion de servicios profesionales"/>
    <s v="AGOSTO"/>
    <n v="4"/>
    <n v="0"/>
    <n v="35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s v="09 - contratación directa"/>
    <x v="0"/>
    <s v="25 - contrato de prestacion de servicios profesionales"/>
    <s v="AGOSTO"/>
    <n v="3"/>
    <n v="0"/>
    <n v="21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x v="0"/>
    <s v="25 - contrato de prestacion de servicios profesionales"/>
    <s v="AGOSTO"/>
    <n v="4"/>
    <n v="0"/>
    <n v="261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5 - contrato de prestacion de servicios profesionales"/>
    <s v="AGOSTO"/>
    <n v="4"/>
    <n v="0"/>
    <n v="15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x v="0"/>
    <s v="25 - contrato de prestacion de servicios profesionales"/>
    <s v="AGOSTO"/>
    <n v="3"/>
    <n v="0"/>
    <n v="21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x v="0"/>
    <s v="25 - contrato de prestacion de servicios profesionales"/>
    <s v="AGOSTO"/>
    <n v="4"/>
    <n v="0"/>
    <n v="28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x v="0"/>
    <s v="25 - contrato de prestacion de servicios profesionales"/>
    <s v="SEPTIEMBRE"/>
    <n v="3"/>
    <n v="0"/>
    <n v="17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3"/>
    <n v="0"/>
    <n v="18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x v="0"/>
    <s v="25 - contrato de prestacion de servicios profesionales"/>
    <s v="SEPTIEMBRE"/>
    <n v="3"/>
    <n v="0"/>
    <n v="22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x v="0"/>
    <s v="25 - contrato de prestacion de servicios profesionales"/>
    <s v="SEPTIEMBRE"/>
    <n v="3"/>
    <n v="0"/>
    <n v="1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x v="0"/>
    <s v="25 - contrato de prestacion de servicios profesionales"/>
    <s v="SEPTIEMBRE"/>
    <n v="3"/>
    <n v="0"/>
    <n v="23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x v="0"/>
    <s v="25 - contrato de prestacion de servicios profesionales"/>
    <s v="SEPTIEMBRE"/>
    <n v="3"/>
    <n v="0"/>
    <n v="1107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x v="0"/>
    <s v="25 - contrato de prestacion de servicios profesionales"/>
    <s v="SEPTIEMBRE"/>
    <n v="3"/>
    <n v="0"/>
    <n v="123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x v="0"/>
    <s v="25 - contrato de prestacion de servicios profesionales"/>
    <s v="SEPTIEMBRE"/>
    <n v="3"/>
    <n v="0"/>
    <n v="10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x v="0"/>
    <s v="25 - contrato de prestacion de servicios profesionales"/>
    <s v="SEPTIEMBRE"/>
    <n v="4"/>
    <n v="0"/>
    <n v="33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x v="0"/>
    <s v="25 - contrato de prestacion de servicios profesionales"/>
    <s v="SEPTIEMBRE"/>
    <n v="4"/>
    <n v="0"/>
    <n v="288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x v="0"/>
    <s v="25 - contrato de prestacion de servicios profesionales"/>
    <s v="SEPTIEMBRE"/>
    <n v="3"/>
    <n v="0"/>
    <n v="1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x v="0"/>
    <s v="25 - contrato de prestacion de servicios profesionales"/>
    <s v="NOVIEMBRE"/>
    <n v="2"/>
    <n v="0"/>
    <n v="16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x v="0"/>
    <s v="25 - contrato de prestacion de servicios profesionales"/>
    <s v="DICIEMBRE"/>
    <n v="1"/>
    <n v="20"/>
    <n v="1088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x v="0"/>
    <s v="25 - contrato de prestacion de servicios profesionales"/>
    <s v="DICIEMBRE"/>
    <n v="1"/>
    <n v="15"/>
    <n v="12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x v="0"/>
    <s v="25 - contrato de prestacion de servicios profesionales"/>
    <s v="DICIEMBRE"/>
    <n v="1"/>
    <n v="12"/>
    <n v="7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x v="0"/>
    <s v="25 - contrato de prestacion de servicios profesionales"/>
    <s v="DICIEMBRE"/>
    <n v="1"/>
    <n v="12"/>
    <n v="11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x v="0"/>
    <s v="25 - contrato de prestacion de servicios profesionales"/>
    <s v="DICIEMBRE"/>
    <n v="1"/>
    <n v="15"/>
    <n v="156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x v="0"/>
    <s v="25 - contrato de prestacion de servicios profesionales"/>
    <s v="DICIEMBRE"/>
    <n v="2"/>
    <n v="0"/>
    <n v="12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x v="0"/>
    <s v="25 - contrato de prestacion de servicios profesionales"/>
    <s v="DICIEMBRE"/>
    <n v="1"/>
    <n v="15"/>
    <n v="13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9"/>
    <s v="Adición y prorroga al Contrato 732-2025 cuyo objeto “Prestar el servicio de instalación, alineación, balanceo y conexos, incluyendo el suministro de llantas a los vehículos del parque automotor de la U.A.E. Cuerpo Oficial de Bomberos de Bogotá - SBLG.”"/>
    <s v="03 - selec. abrev. subasta inversa"/>
    <x v="1"/>
    <s v="08 - contrato de suministro"/>
    <s v="AGOSTO"/>
    <n v="1"/>
    <n v="0"/>
    <n v="15000000"/>
    <s v="NO"/>
    <s v="Sub. Logística"/>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929-BS-8173-4--Adición y prorroga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x v="0"/>
    <s v="26 - contrato de prestacion de servicios de apoyo a la gestion"/>
    <s v="AGOSTO"/>
    <n v="3"/>
    <n v="0"/>
    <n v="10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x v="0"/>
    <s v="25 - contrato de prestacion de servicios profesionales"/>
    <s v="AGOSTO"/>
    <n v="4"/>
    <n v="0"/>
    <n v="26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x v="0"/>
    <s v="26 - contrato de prestacion de servicios de apoyo a la gestion"/>
    <s v="AGOSTO"/>
    <n v="3"/>
    <n v="0"/>
    <n v="108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x v="0"/>
    <s v="26 - contrato de prestacion de servicios de apoyo a la gestion"/>
    <s v="AGOSTO"/>
    <n v="3"/>
    <n v="0"/>
    <n v="12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x v="0"/>
    <s v="26 - contrato de prestacion de servicios de apoyo a la gestion"/>
    <s v="AGOSTO"/>
    <n v="3"/>
    <n v="0"/>
    <n v="84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4-TH-8173-4--Prestar servicios de apoyo a la gestión en las actividades de soporte operacional de la UAECOB Subdirección Logística. SBLG"/>
  </r>
  <r>
    <n v="20260936"/>
    <s v="Prestar servicios de apoyo a la gestión en las actividades de soporte operacional para el desarrollo de las estrategías de la Subdirección Logística. SBLG"/>
    <s v="09 - contratación directa"/>
    <x v="0"/>
    <s v="26 - contrato de prestacion de servicios de apoyo a la gestion"/>
    <s v="AGOSTO"/>
    <n v="3"/>
    <n v="0"/>
    <n v="9855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x v="0"/>
    <s v="25 - contrato de prestacion de servicios profesionales"/>
    <s v="AGOSTO"/>
    <n v="3"/>
    <n v="0"/>
    <n v="16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x v="0"/>
    <s v="26 - contrato de prestacion de servicios de apoyo a la gestion"/>
    <s v="AGOSTO"/>
    <n v="3"/>
    <n v="0"/>
    <n v="108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x v="0"/>
    <s v="26 - contrato de prestacion de servicios de apoyo a la gestion"/>
    <s v="SEPTIEMBRE"/>
    <n v="3"/>
    <n v="0"/>
    <n v="72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9-TH-8173-4--Prestar servicios de apoyo a la gestión en el manejo de las herramientas tecnológicas en diligenciamiento, seguimiento y control de las herramientas de gestión asociadas a la mesa logística de la Subdirección Logística. – SBLG"/>
  </r>
  <r>
    <n v="20260941"/>
    <s v="Prestación de servicios profesionales de carácter jurídico para apoyar la gestión administrativa y la adquisición de bienes y servicios para el desarrollo de las estrategias de la Subdirección Logística. -SBLG"/>
    <s v="09 - contratación directa"/>
    <x v="0"/>
    <s v="25 - contrato de prestacion de servicios profesionales"/>
    <s v="SEPTIEMBRE"/>
    <n v="3"/>
    <n v="0"/>
    <n v="15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x v="0"/>
    <s v="26 - contrato de prestacion de servicios de apoyo a la gestion"/>
    <s v="SEPTIEMBRE"/>
    <n v="3"/>
    <n v="0"/>
    <n v="10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x v="0"/>
    <s v="25 - contrato de prestacion de servicios profesionales"/>
    <s v="SEPTIEMBRE"/>
    <n v="2"/>
    <n v="15"/>
    <n v="1875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x v="0"/>
    <s v="26 - contrato de prestacion de servicios de apoyo a la gestion"/>
    <s v="OCTUBRE"/>
    <n v="5"/>
    <n v="0"/>
    <n v="656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x v="0"/>
    <s v="25 - contrato de prestacion de servicios profesionales"/>
    <s v="OCTUBRE"/>
    <n v="5"/>
    <n v="0"/>
    <n v="40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x v="0"/>
    <s v="25 - contrato de prestacion de servicios profesionales"/>
    <s v="OCTUBRE"/>
    <n v="2"/>
    <n v="0"/>
    <n v="13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x v="0"/>
    <s v="25 - contrato de prestacion de servicios profesionales"/>
    <s v="OCTUBRE"/>
    <n v="2"/>
    <n v="0"/>
    <n v="9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x v="0"/>
    <s v="26 - contrato de prestacion de servicios de apoyo a la gestion"/>
    <s v="OCTUBRE"/>
    <n v="2"/>
    <n v="0"/>
    <n v="72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x v="0"/>
    <s v="25 - contrato de prestacion de servicios profesionales"/>
    <s v="OCTUBRE"/>
    <n v="5"/>
    <n v="0"/>
    <n v="40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0-TH-8173-4--Prestación de servicios profesionales para la gestión, seguimiento y control  técnico y operativo del proceso de mantenimiento del parque automotor a cargo de la Subdirección Logística - SBLG."/>
  </r>
  <r>
    <n v="20260951"/>
    <s v="Prestar servicios profesionales para la ejecución de actividades administrativas y documentales relacionadas con el procedimiento de equipo menor, en el marco de las estrategias y actividades de la Subdirección Logística – SBLG."/>
    <s v="09 - contratación directa"/>
    <x v="0"/>
    <s v="25 - contrato de prestacion de servicios profesionales"/>
    <s v="OCTUBRE"/>
    <n v="3"/>
    <n v="0"/>
    <n v="135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1-TH-8173-4--Prestar servicios profesionales para la ejecución de actividades administrativas y documentales relacionadas con el procedimiento de equipo menor, en el marco de las estrategias y actividades de la Subdirección Logística – SBLG."/>
  </r>
  <r>
    <n v="20260952"/>
    <s v="Prestación de servicios profesionales para apoyar la gestión financiera y presupuestal de los proyectos, planes y estrategias a cargo de la Subdirección Logística - SBLG"/>
    <s v="09 - contratación directa"/>
    <x v="0"/>
    <s v="25 - contrato de prestacion de servicios profesionales"/>
    <s v="OCTUBRE"/>
    <n v="2"/>
    <n v="0"/>
    <n v="12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2-TH-8173-4--Prestación de servicios profesionales para apoyar la gestión financiera y presupuestal de los proyectos, planes y estrategias a cargo de la Subdirección Logística - SBLG"/>
  </r>
  <r>
    <n v="20260954"/>
    <s v="Prestación de servicios profesionales para la gestión, seguimiento y control administrativo, técnico y operativo del proceso de mantenimiento del parque automotor a cargo de la Subdirección Logística - SBLG."/>
    <s v="09 - contratación directa"/>
    <x v="0"/>
    <s v="25 - contrato de prestacion de servicios profesionales"/>
    <s v="OCTUBRE"/>
    <n v="5"/>
    <n v="0"/>
    <n v="40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x v="0"/>
    <s v="25 - contrato de prestacion de servicios profesionales"/>
    <s v="OCTUBRE"/>
    <n v="2"/>
    <n v="0"/>
    <n v="9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OCTUBRE"/>
    <n v="2"/>
    <n v="0"/>
    <n v="72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NOVIEMBRE"/>
    <n v="2"/>
    <n v="0"/>
    <n v="11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7-TH-8173-4--Prestación de servicios profesionales para realizar el seguimiento y monitoreo a los diferentes procesos y procedimientos del equipo menor a cargo de la Subdirección Logística - SBLG"/>
  </r>
  <r>
    <n v="20260958"/>
    <s v="Adición y Prorroga  del Contrato 102 de 2026,  cuyo objeto es &quo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quot;"/>
    <s v="09 - contratación directa"/>
    <x v="0"/>
    <s v="25 - contrato de prestacion de servicios profesionales"/>
    <s v="NOVIEMBRE"/>
    <n v="3"/>
    <n v="0"/>
    <n v="16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8-TH-8173-4--Adición y Prorroga  del Contrato 102 de 2026,  cuyo objeto es &quo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quot;"/>
  </r>
  <r>
    <n v="20260959"/>
    <s v="Prestar servicio de apoyo a la gestión para asistir a la Subdirección Logística en el seguimiento técnico y administrativo de los mantenimientos minimos requeridos en la Subdirección Logística - SBLG"/>
    <s v="09 - contratación directa"/>
    <x v="0"/>
    <s v="26 - contrato de prestacion de servicios de apoyo a la gestion"/>
    <s v="NOVIEMBRE"/>
    <n v="2"/>
    <n v="0"/>
    <n v="72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9-TH-8173-4--Prestar servicio de apoyo a la gestión para asistir a la Subdirección Logística en el seguimiento técnico y administrativo de los mantenimientos minimos requeridos en la Subdirección Logística - SBLG"/>
  </r>
  <r>
    <n v="20260960"/>
    <s v="Adición y Prorroga del Contrato 014 de 2026, cuyo objeto es &quot;Prestación de servicios profesionales, para apoyar la estructuración y elaboración de los asuntos contractuales en sus diferentes etapas en la adquisicion de bienes y servicios para el desarrollo de las estrategías de la Subdirección Logística.- SBLG&quot;"/>
    <s v="09 - contratación directa"/>
    <x v="0"/>
    <s v="25 - contrato de prestacion de servicios profesionales"/>
    <s v="NOVIEMBRE"/>
    <n v="3"/>
    <n v="15"/>
    <n v="24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0-TH-8173-4--Adición y Prorroga del Contrato 014 de 2026, cuyo objeto es &quot;Prestación de servicios profesionales, para apoyar la estructuración y elaboración de los asuntos contractuales en sus diferentes etapas en la adquisicion de bienes y servicios para el desarrollo de las estrategías de la Subdirección Logística.- SBLG&quot;"/>
  </r>
  <r>
    <n v="20260961"/>
    <s v="Adición y Prorroga del Contrato 055 de 2026, cuyo objeto es &quo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quot;"/>
    <s v="09 - contratación directa"/>
    <x v="0"/>
    <s v="25 - contrato de prestacion de servicios profesionales"/>
    <s v="NOVIEMBRE"/>
    <n v="3"/>
    <n v="0"/>
    <n v="27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1-TH-8173-4--Adición y Prorroga del Contrato 055 de 2026, cuyo objeto es &quo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quot;"/>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x v="0"/>
    <s v="25 - contrato de prestacion de servicios profesionales"/>
    <s v="AGOSTO"/>
    <n v="3"/>
    <n v="0"/>
    <n v="29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x v="0"/>
    <s v="25 - contrato de prestacion de servicios profesionales"/>
    <s v="AGOSTO"/>
    <n v="3"/>
    <n v="0"/>
    <n v="25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x v="0"/>
    <s v="26 - contrato de prestacion de servicios de apoyo a la gestion"/>
    <s v="AGOSTO"/>
    <n v="3"/>
    <n v="0"/>
    <n v="1107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x v="0"/>
    <s v="26 - contrato de prestacion de servicios de apoyo a la gestion"/>
    <s v="SEPTIEMBRE"/>
    <n v="3"/>
    <n v="0"/>
    <n v="11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x v="0"/>
    <s v="25 - contrato de prestacion de servicios profesionales"/>
    <s v="SEPTIEMBRE"/>
    <n v="2"/>
    <n v="0"/>
    <n v="1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s v="09 - contratación directa"/>
    <x v="0"/>
    <s v="26 - contrato de prestacion de servicios de apoyo a la gestion"/>
    <s v="SEPTIEMBRE"/>
    <n v="3"/>
    <n v="0"/>
    <n v="123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x v="0"/>
    <s v="25 - contrato de prestacion de servicios profesionales"/>
    <s v="SEPTIEMBRE"/>
    <n v="2"/>
    <n v="0"/>
    <n v="11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x v="0"/>
    <s v="25 - contrato de prestacion de servicios profesionales"/>
    <s v="SEPTIEMBRE"/>
    <n v="2"/>
    <n v="0"/>
    <n v="12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x v="0"/>
    <s v="25 - contrato de prestacion de servicios profesionales"/>
    <s v="SEPTIEMBRE"/>
    <n v="2"/>
    <n v="0"/>
    <n v="10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x v="0"/>
    <s v="25 - contrato de prestacion de servicios profesionales"/>
    <s v="SEPTIEMBRE"/>
    <n v="3"/>
    <n v="0"/>
    <n v="23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x v="0"/>
    <s v="25 - contrato de prestacion de servicios profesionales"/>
    <s v="OCTUBRE"/>
    <n v="2"/>
    <n v="15"/>
    <n v="20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x v="0"/>
    <s v="25 - contrato de prestacion de servicios profesionales"/>
    <s v="OCTUBRE"/>
    <n v="2"/>
    <n v="0"/>
    <n v="14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x v="0"/>
    <s v="25 - contrato de prestacion de servicios profesionales"/>
    <s v="NOVIEMBRE"/>
    <n v="2"/>
    <n v="0"/>
    <n v="11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x v="0"/>
    <s v="26 - contrato de prestacion de servicios de apoyo a la gestion"/>
    <s v="NOVIEMBRE"/>
    <n v="1"/>
    <n v="5"/>
    <n v="4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x v="0"/>
    <s v="25 - contrato de prestacion de servicios profesionales"/>
    <s v="NOVIEMBRE"/>
    <n v="2"/>
    <n v="0"/>
    <n v="13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x v="0"/>
    <s v="25 - contrato de prestacion de servicios profesionales"/>
    <s v="DICIEMBRE"/>
    <n v="1"/>
    <n v="12"/>
    <n v="1035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x v="0"/>
    <s v="25 - contrato de prestacion de servicios profesionales"/>
    <s v="DICIEMBRE"/>
    <n v="1"/>
    <n v="6"/>
    <n v="588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x v="0"/>
    <s v="25 - contrato de prestacion de servicios profesionales"/>
    <s v="AGOSTO"/>
    <n v="5"/>
    <n v="0"/>
    <n v="45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x v="0"/>
    <s v="25 - contrato de prestacion de servicios profesionales"/>
    <s v="AGOSTO"/>
    <n v="5"/>
    <n v="15"/>
    <n v="49746667"/>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x v="0"/>
    <s v="25 - contrato de prestacion de servicios profesionales"/>
    <s v="AGOSTO"/>
    <n v="5"/>
    <n v="0"/>
    <n v="18000000"/>
    <s v="NO"/>
    <s v="Oficina Juridica"/>
    <s v="Mónica María Pérez Barragán"/>
    <x v="1"/>
    <s v="Subdirector@ de Gestión Corporativa"/>
    <x v="1"/>
    <n v="80111600"/>
    <s v="No aplica"/>
    <s v="No a"/>
    <s v="li"/>
    <s v="NA"/>
    <s v="NA"/>
    <s v="NA"/>
    <s v="N/A"/>
    <s v="N/A"/>
    <s v="N/A-N/A"/>
    <s v="N/A"/>
    <s v="N/A"/>
    <s v="N/A_N/A"/>
    <s v="N/A-N/A N/A_N/A"/>
    <s v="NANANAN/AN/A"/>
    <s v="N/A"/>
    <s v="No Aplica"/>
    <s v="Si Secop "/>
    <s v="20260983-TH-No a-li-Prestar servicios de apoyo a la gestión en la ejecución de labores administrativas, así como en la organización, custodia y gestión documental de los asuntos y procesos a cargo de La UAECOB"/>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x v="0"/>
    <s v="25 - contrato de prestacion de servicios profesionales"/>
    <s v="AGOSTO"/>
    <n v="4"/>
    <n v="0"/>
    <n v="300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x v="0"/>
    <s v="25 - contrato de prestacion de servicios profesionales"/>
    <s v="SEPTIEMBRE"/>
    <n v="4"/>
    <n v="0"/>
    <n v="30000000"/>
    <s v="NO"/>
    <s v="Oficina Asesora de Planeación"/>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AGOSTO"/>
    <n v="3"/>
    <n v="0"/>
    <n v="210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86-TH-8126-9--Prestar servicios profesionales jurídicos para apoyar la instrucción y demás actuaciones que deban surtirse en los procesos disciplinarios adelantados por la Oficina de Control Disciplinario Interno."/>
  </r>
  <r>
    <n v="20260987"/>
    <s v="Reconocimientos de gastos de alimentación y hospedaje por desplazamientos de contratistas"/>
    <s v="91 - n/a acto administrativo (resolución, decreto, acuerdo, etc.)"/>
    <x v="0"/>
    <s v="12 - resolucion"/>
    <s v="AGOSTO"/>
    <n v="0"/>
    <n v="10"/>
    <n v="5914175"/>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663111 Servicios de alojamiento en hoteles"/>
    <s v="Si Secop "/>
    <s v="20260987-TH-8173-1--Reconocimientos de gastos de alimentación y hospedaje por desplazamientos de contratistas"/>
  </r>
  <r>
    <n v="20260988"/>
    <s v="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s v="09 - contratación directa"/>
    <x v="0"/>
    <s v="25 - contrato de prestacion de servicios profesionales"/>
    <s v="AGOSTO"/>
    <n v="4"/>
    <n v="0"/>
    <n v="400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
  </r>
  <r>
    <n v="20260989"/>
    <s v="Reconocimiento de gastos de alimentación y hospedaje por desplazamientos de contratistas de Direccción - Prensa"/>
    <s v="91 - n/a acto administrativo (resolución, decreto, acuerdo, etc.)"/>
    <x v="0"/>
    <s v="12 - resolucion"/>
    <s v="AGOSTO"/>
    <n v="2"/>
    <n v="0"/>
    <n v="150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663111 Servicios de alojamiento en hoteles"/>
    <s v="Si Secop "/>
    <s v="20260989-TH-8126-10-Reconocimiento de gastos de alimentación y hospedaje por desplazamientos de contratistas de Direccción - Prensa"/>
  </r>
  <r>
    <n v="20260990"/>
    <s v="Prestación de servicios profesionales en la Dirección para el acompañamiento en las labores de gestión administrativa, en asuntos propios de comunicaciones y prensa de la UAECOB"/>
    <s v="09 - contratación directa"/>
    <x v="0"/>
    <s v="25 - contrato de prestacion de servicios profesionales"/>
    <s v="AGOSTO"/>
    <n v="3"/>
    <n v="0"/>
    <n v="1545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990-TH-8126-10-Prestación de servicios profesionales en la Dirección para el acompañamiento en las labores de gestión administrativa, en asuntos propios de comunicaciones y prensa de la UAECOB"/>
  </r>
  <r>
    <n v="20260991"/>
    <s v="Reconocimientos de gastos de alimentación y hospedaje por desplazamientos de contratistas"/>
    <s v="91 - n/a acto administrativo (resolución, decreto, acuerdo, etc.)"/>
    <x v="0"/>
    <s v="12 - resolucion"/>
    <s v="AGOSTO"/>
    <n v="2"/>
    <n v="0"/>
    <n v="3620814"/>
    <s v="NO"/>
    <s v="Sub. Gestión Riesgos"/>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663111 Servicios de alojamiento en hoteles"/>
    <s v="Si Secop "/>
    <s v="20260991-TH-8173-6--Reconocimientos de gastos de alimentación y hospedaje por desplazamientos de contratistas"/>
  </r>
  <r>
    <n v="20260992"/>
    <s v="Adición y prorroga al contrato 071-2026 cuyo objeto es: &quot;Prestar servicios de apoyo técnico en asuntos administrativos, financieros, documentales y emisión de informes para el desarrollo de las estrategías de la Subdireccion Logística-SBLG&quot;"/>
    <s v="09 - contratación directa"/>
    <x v="0"/>
    <s v="26 - contrato de prestacion de servicios de apoyo a la gestion"/>
    <s v="AGOSTO"/>
    <n v="3"/>
    <n v="0"/>
    <n v="14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992-TH-8173-4--Adición y prorroga al contrato 071-2026 cuyo objeto es: &quot;Prestar servicios de apoyo técnico en asuntos administrativos, financieros, documentales y emisión de informes para el desarrollo de las estrategías de la Subdireccion Logística-SBLG&quot;"/>
  </r>
  <r>
    <n v="20260993"/>
    <s v="Prestación de servicios profesionales para realizar el seguimiento y monitoreo a los diferentes procesos y procedimientos del equipo menor a cargo de la Subdirección Logística - SBLG"/>
    <s v="09 - contratación directa"/>
    <x v="0"/>
    <s v="25 - contrato de prestacion de servicios profesionales"/>
    <s v="SEPTIEMBRE"/>
    <n v="3"/>
    <n v="0"/>
    <n v="21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93-TH-8173-4--Prestación de servicios profesionales para realizar el seguimiento y monitoreo a los diferentes procesos y procedimientos del equipo menor a cargo de la Subdirección Logística - SBLG"/>
  </r>
  <r>
    <n v="20260995"/>
    <s v="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s v="09 - contratación directa"/>
    <x v="0"/>
    <s v="25 - contrato de prestacion de servicios profesionales"/>
    <s v="SEPTIEMBRE"/>
    <n v="3"/>
    <n v="0"/>
    <n v="2475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995-TH-8126-9--Adición y prórroga al Contrato 116 de 2026 con objeto: &quo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quot;"/>
  </r>
  <r>
    <n v="20260996"/>
    <s v="Adición y prórroga al Contrato 181 de 2026 &quot;Prestación de servicios profesionales para gestionar las actividades de articulación interinstitucional, protocolo y demás que le sean indicados en la Dirección General en concordancia al marco de sus funciones&quot;"/>
    <s v="09 - contratación directa"/>
    <x v="0"/>
    <s v="25 - contrato de prestacion de servicios profesionales"/>
    <s v="SEPTIEMBRE"/>
    <n v="3"/>
    <n v="0"/>
    <n v="2475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996-TH-8126-9--Adición y prórroga al Contrato 181 de 2026 &quot;Prestación de servicios profesionales para gestionar las actividades de articulación interinstitucional, protocolo y demás que le sean indicados en la Dirección General en concordancia al marco de sus funciones&quot;"/>
  </r>
  <r>
    <n v="20260997"/>
    <s v="Prestación de servicios de apoyo a la gestión del proceso de inventarios de la Subdirección de Gestión Corporativa.-SGC"/>
    <s v="09 - contratación directa"/>
    <x v="0"/>
    <s v="26 - contrato de prestacion de servicios de apoyo a la gestion"/>
    <s v="SEPTIEMBRE"/>
    <n v="4"/>
    <n v="0"/>
    <n v="11260556"/>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7-TH-8126-9--Prestación de servicios de apoyo a la gestión del proceso de inventarios de la Subdirección de Gestión Corporativa.-SGC"/>
  </r>
  <r>
    <n v="20260998"/>
    <s v="Prestación de servicios profesionales, en temas jurídicos de la gestión administrativa a cargo de la Subdirección de Gestión Corporativa.- SGC"/>
    <s v="09 - contratación directa"/>
    <x v="0"/>
    <s v="25 - contrato de prestacion de servicios profesionales"/>
    <s v="SEPTIEMBRE"/>
    <n v="4"/>
    <n v="0"/>
    <n v="2064434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8-TH-8126-9--Prestación de servicios profesionales, en temas jurídicos de la gestión administrativa a cargo de la Subdirección de Gestión Corporativa.- SGC"/>
  </r>
  <r>
    <n v="20260999"/>
    <s v="Prestar servicios profesionales para realizar acompañamiento juridico adelantados por la Subdirección Gestión Corporativa -SGC"/>
    <s v="09 - contratación directa"/>
    <x v="0"/>
    <s v="25 - contrato de prestacion de servicios profesionales"/>
    <s v="SEPTIEMBRE"/>
    <n v="4"/>
    <n v="0"/>
    <n v="2064434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99-TH-8126-9--Prestar servicios profesionales para realizar acompañamiento juridico adelantados por la Subdirección Gestión Corporativa -SGC"/>
  </r>
  <r>
    <n v="20261000"/>
    <s v="Prestación de servicios de apoyo a la gestión para los procesos financieros y contables de la Subdirección de Gestión Corporativa de la Unidad.-SGC"/>
    <s v="09 - contratación directa"/>
    <x v="0"/>
    <s v="26 - contrato de prestacion de servicios de apoyo a la gestion"/>
    <s v="SEPTIEMBRE"/>
    <n v="4"/>
    <n v="0"/>
    <n v="11260556"/>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0-TH-8126-9--Prestación de servicios de apoyo a la gestión para los procesos financieros y contables de la Subdirección de Gestión Corporativa de la Unidad.-SGC"/>
  </r>
  <r>
    <n v="20261001"/>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1-TH-8126-9--Prestación de servicios de apoyo a la gestión en la ejecución de los planes y programas de servicio al ciudadano a cargo de la Subdirección de Gestión Corporativa.-SGC"/>
  </r>
  <r>
    <n v="20261002"/>
    <s v="Prestación de servicios profesionales con el fin de gestionar trámites de carácter técnico, administrativo y operativamente en el desarrollo de los proyectos de inversión  de la entidad-SGC"/>
    <s v="09 - contratación directa"/>
    <x v="0"/>
    <s v="25 - contrato de prestacion de servicios profesionales"/>
    <s v="SEPTIEMBRE"/>
    <n v="4"/>
    <n v="0"/>
    <n v="24129756"/>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1002-TH-8173-7--Prestación de servicios profesionales con el fin de gestionar trámites de carácter técnico, administrativo y operativamente en el desarrollo de los proyectos de inversión  de la entidad-SGC"/>
  </r>
  <r>
    <n v="2026100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x v="0"/>
    <s v="26 - contrato de prestacion de servicios de apoyo a la gestion"/>
    <s v="SEPTIEMBRE"/>
    <n v="4"/>
    <n v="0"/>
    <n v="13137312"/>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3-TH-8126-8--Prestación de servicios de apoyo a la gestión, en la Subdirección de Gestión Corporativa en temas de infraestructura para el sostenimiento y mejoramiento de los equipamientos de la Unidad Administrativa Especial Cuerpo Oficial de Bomberos de Bogotá-SGC"/>
  </r>
  <r>
    <n v="20261004"/>
    <s v="Prestación de servicios profesionales en el acompañamiento y asistencia al proceso de gestión documental de la UAE Cuerpo oficial de Bomberos. -SGC"/>
    <s v="09 - contratación directa"/>
    <x v="0"/>
    <s v="25 - contrato de prestacion de servicios profesionales"/>
    <s v="SEPTIEMBRE"/>
    <n v="3"/>
    <n v="0"/>
    <n v="21000000"/>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4-TH-8126-9--Prestación de servicios profesionales en el acompañamiento y asistencia al proceso de gestión documental de la UAE Cuerpo oficial de Bomberos. -SGC"/>
  </r>
  <r>
    <n v="20261005"/>
    <s v="Prestación de servicios de apoyo a la gestión documental de la Subdirección de Gestión Corporativa de la Unidad.-SGC"/>
    <s v="09 - contratación directa"/>
    <x v="0"/>
    <s v="26 - contrato de prestacion de servicios de apoyo a la gestion"/>
    <s v="SEPTIEMBRE"/>
    <n v="4"/>
    <n v="0"/>
    <n v="11260556"/>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5-TH-8126-9--Prestación de servicios de apoyo a la gestión documental de la Subdirección de Gestión Corporativa de la Unidad.-SGC"/>
  </r>
  <r>
    <n v="20261006"/>
    <s v="Prestar servicios profesionales especializados como ingeniero electrónico para apoyar las actividades propias que contribuyan al desarrollo de la infraestructura requerida por la entidad para la adecuada prestación del servicio-SGC"/>
    <s v="09 - contratación directa"/>
    <x v="0"/>
    <s v="25 - contrato de prestacion de servicios profesionales"/>
    <s v="SEPTIEMBRE"/>
    <n v="4"/>
    <n v="0"/>
    <n v="28000000"/>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6-TH-8126-8--Prestar servicios profesionales especializados como ingeniero electrónico para apoyar las actividades propias que contribuyan al desarrollo de la infraestructura requerida por la entidad para la adecuada prestación del servicio-SGC"/>
  </r>
  <r>
    <n v="20261007"/>
    <s v="Prestación de servicios de apoyo a la gestión en la ejecución de los planes y programas de servicio al ciudadano a cargo de la Subdirección de Gestión Corporativa.-SGC"/>
    <s v="09 - contratación directa"/>
    <x v="0"/>
    <s v="26 - contrato de prestacion de servicios de apoyo a la gestion"/>
    <s v="SEPTIEMBRE"/>
    <n v="4"/>
    <n v="0"/>
    <n v="13137312"/>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7-TH-8126-9--Prestación de servicios de apoyo a la gestión en la ejecución de los planes y programas de servicio al ciudadano a cargo de la Subdirección de Gestión Corporativa.-SGC"/>
  </r>
  <r>
    <n v="2026100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x v="0"/>
    <s v="25 - contrato de prestacion de servicios profesionales"/>
    <s v="SEPTIEMBRE"/>
    <n v="4"/>
    <n v="0"/>
    <n v="20644348"/>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1009"/>
    <s v="Prestación de servicios de apoyo a la gestión en la Subdirección de Gestión Corporativa, en las actividades asociadas a los procesos y procedimientos del almacén de la Entidad.- SGC"/>
    <s v="09 - contratación directa"/>
    <x v="0"/>
    <s v="26 - contrato de prestacion de servicios de apoyo a la gestion"/>
    <s v="SEPTIEMBRE"/>
    <n v="4"/>
    <n v="0"/>
    <n v="1474596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09-TH-8126-9--Prestación de servicios de apoyo a la gestión en la Subdirección de Gestión Corporativa, en las actividades asociadas a los procesos y procedimientos del almacén de la Entidad.- SGC"/>
  </r>
  <r>
    <n v="20261010"/>
    <s v="Prestar los servicios profesionales en las actividades asociadas del área de infraestructura que contribuyan para la implementación de procesos y procedimientos para la adecuada prestación del servicio-SGC."/>
    <s v="09 - contratación directa"/>
    <x v="0"/>
    <s v="25 - contrato de prestacion de servicios profesionales"/>
    <s v="SEPTIEMBRE"/>
    <n v="4"/>
    <n v="0"/>
    <n v="20000000"/>
    <s v="NO"/>
    <s v="Sub. Gestión Corporativa"/>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1010-TH-8173-8--Prestar los servicios profesionales en las actividades asociadas del área de infraestructura que contribuyan para la implementación de procesos y procedimientos para la adecuada prestación del servicio-SGC."/>
  </r>
  <r>
    <n v="20261011"/>
    <s v="Prestación de servicios profesionales en la Subdirección de Gestión Corporativa en las actividades relacionadas con MIPG-SGC"/>
    <s v="09 - contratación directa"/>
    <x v="0"/>
    <s v="25 - contrato de prestacion de servicios profesionales"/>
    <s v="SEPTIEMBRE"/>
    <n v="4"/>
    <n v="0"/>
    <n v="2949192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11-TH-8126-9--Prestación de servicios profesionales en la Subdirección de Gestión Corporativa en las actividades relacionadas con MIPG-SGC"/>
  </r>
  <r>
    <n v="20261012"/>
    <s v="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s v="09 - contratación directa"/>
    <x v="0"/>
    <s v="25 - contrato de prestacion de servicios profesionales"/>
    <s v="NOVIEMBRE"/>
    <n v="1"/>
    <n v="23"/>
    <n v="1265137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2-TH-8126-5--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r>
  <r>
    <n v="20261013"/>
    <s v="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x v="0"/>
    <s v="25 - contrato de prestacion de servicios profesionales"/>
    <s v="NOVIEMBRE"/>
    <n v="1"/>
    <n v="18"/>
    <n v="1148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1014"/>
    <s v="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s v="09 - contratación directa"/>
    <x v="0"/>
    <s v="25 - contrato de prestacion de servicios profesionales"/>
    <s v="NOVIEMBRE"/>
    <n v="1"/>
    <n v="3"/>
    <n v="78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r>
  <r>
    <n v="20261015"/>
    <s v="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s v="09 - contratación directa"/>
    <x v="0"/>
    <s v="26 - contrato de prestacion de servicios de apoyo a la gestion"/>
    <s v="DICIEMBRE"/>
    <n v="0"/>
    <n v="22"/>
    <n v="2933333"/>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r>
  <r>
    <n v="20261016"/>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x v="0"/>
    <s v="25 - contrato de prestacion de servicios profesionales"/>
    <s v="DICIEMBRE"/>
    <n v="0"/>
    <n v="15"/>
    <n v="420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1017"/>
    <s v="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s v="09 - contratación directa"/>
    <x v="0"/>
    <s v="25 - contrato de prestacion de servicios profesionales"/>
    <s v="NOVIEMBRE"/>
    <n v="1"/>
    <n v="0"/>
    <n v="55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7-TH-8126-6--Adición y prórroga No. 013 de 2026 cuyo objeto es: &quot;Prestar servicios profesionales, en el levantamiento de requerimientos, análisis y mejora de soluciones digitales a cargo de la Dirección de Tecnologías de la Información y las Comunicaciones de la U.A.E Cuerpo Oficial de Bomberos de Bogotá D.C.&quot;"/>
  </r>
  <r>
    <n v="20261018"/>
    <s v="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s v="09 - contratación directa"/>
    <x v="0"/>
    <s v="25 - contrato de prestacion de servicios profesionales"/>
    <s v="NOVIEMBRE"/>
    <n v="1"/>
    <n v="0"/>
    <n v="7500000"/>
    <s v="NO"/>
    <s v="Dirección Tic"/>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8-TH-8126-6--Adición y prorroga al contrato No. 026 de 2026 cuyo objeto es &quo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quot;"/>
  </r>
  <r>
    <n v="20261019"/>
    <s v="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s v="09 - contratación directa"/>
    <x v="0"/>
    <s v="25 - contrato de prestacion de servicios profesionales"/>
    <s v="NOVIEMBRE"/>
    <n v="1"/>
    <n v="12"/>
    <n v="745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19-TH-8126-5--Adición y prórroga al contrato No. 037 de 2026 cuyo objeto es &quo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quot;"/>
  </r>
  <r>
    <n v="20261020"/>
    <s v="Contratar el servicio de mantenimiento para el sistema de atención de turnos de la U.A.E. Cuerpo Oficial de Bomberos de Bogotá - TIC"/>
    <s v="09 - contratación directa"/>
    <x v="1"/>
    <s v="24 - contrato de servicio"/>
    <s v="OCTUBRE"/>
    <n v="6"/>
    <n v="0"/>
    <n v="14940000"/>
    <s v="NO"/>
    <s v="Dirección Tic"/>
    <s v="Paula Ximena Henao Escobar"/>
    <x v="0"/>
    <s v="Subdirector@ de Gestión Corporativa"/>
    <x v="0"/>
    <s v="32121000; 43232300; 81111700; 81112200; 432115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1020-BS-8126-4--Contratar el servicio de mantenimiento para el sistema de atención de turnos de la U.A.E. Cuerpo Oficial de Bomberos de Bogotá - TIC"/>
  </r>
  <r>
    <n v="20261021"/>
    <s v="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s v="09 - contratación directa"/>
    <x v="0"/>
    <s v="25 - contrato de prestacion de servicios profesionales"/>
    <s v="OCTUBRE"/>
    <n v="2"/>
    <n v="0"/>
    <n v="165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21-TH-8126-9--Adición y prórroga al Contrato 453 de 2026 con objeto: &quo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quot;."/>
  </r>
  <r>
    <n v="20261022"/>
    <s v="Prestar servicios profesionales en asuntos de comunicaciones y prensa orientadas a contribuir en las necesidades de la Entidad y facilitar la inserción de nuevas estrategias de comunicación"/>
    <s v="09 - contratación directa"/>
    <x v="0"/>
    <s v="25 - contrato de prestacion de servicios profesionales"/>
    <s v="OCTUBRE"/>
    <n v="2"/>
    <n v="0"/>
    <n v="13600000"/>
    <s v="NO"/>
    <s v="Dirección comunicaciones y Prensa"/>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1022-TH-8126-10-Prestar servicios profesionales en asuntos de comunicaciones y prensa orientadas a contribuir en las necesidades de la Entidad y facilitar la inserción de nuevas estrategias de comunicación"/>
  </r>
  <r>
    <n v="20261023"/>
    <s v="Prestar servicios profesionales jurídicos en la Dirección General de la UAECOB, para apoyar la gestión, revisión y seguimiento de temas de la dirección, contratación y estratégicos de la misionalidad de la Entidad"/>
    <s v="09 - contratación directa"/>
    <x v="0"/>
    <s v="25 - contrato de prestacion de servicios profesionales"/>
    <s v="OCTUBRE"/>
    <n v="2"/>
    <n v="0"/>
    <n v="16500000"/>
    <s v="NO"/>
    <s v="Dirección"/>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23-TH-8126-9--Prestar servicios profesionales jurídicos en la Dirección General de la UAECOB, para apoyar la gestión, revisión y seguimiento de temas de la dirección, contratación y estratégicos de la misionalidad de la Entidad"/>
  </r>
  <r>
    <n v="20261024"/>
    <s v="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s v="09 - contratación directa"/>
    <x v="0"/>
    <s v="25 - contrato de prestacion de servicios profesionales"/>
    <s v="NOVIEMBRE"/>
    <n v="1"/>
    <n v="0"/>
    <n v="6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24-TH-8173-9--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quot;"/>
  </r>
  <r>
    <n v="20261025"/>
    <s v="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s v="09 - contratación directa"/>
    <x v="0"/>
    <s v="25 - contrato de prestacion de servicios profesionales"/>
    <s v="NOVIEMBRE"/>
    <n v="1"/>
    <n v="0"/>
    <n v="6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25-TH-8173-9--Adición y prorroga Cto 562-26 cuyo objeto es &quo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quot;"/>
  </r>
  <r>
    <n v="20261026"/>
    <s v="Adición y prorroga Cto 590-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s v="09 - contratación directa"/>
    <x v="0"/>
    <s v="25 - contrato de prestacion de servicios profesionales"/>
    <s v="NOVIEMBRE"/>
    <n v="1"/>
    <n v="0"/>
    <n v="52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26-TH-8173-9--Adición y prorroga Cto 590-26 cuyo objeto es &quo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quot;"/>
  </r>
  <r>
    <n v="20261027"/>
    <s v="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s v="09 - contratación directa"/>
    <x v="0"/>
    <s v="25 - contrato de prestacion de servicios profesionales"/>
    <s v="NOVIEMBRE"/>
    <n v="1"/>
    <n v="0"/>
    <n v="59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27-TH-8173-9--Adición y prorroga Cto 514-26 cuyo objeto es &quo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quot;"/>
  </r>
  <r>
    <n v="20261028"/>
    <s v="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s v="09 - contratación directa"/>
    <x v="0"/>
    <s v="25 - contrato de prestacion de servicios profesionales"/>
    <s v="NOVIEMBRE"/>
    <n v="2"/>
    <n v="0"/>
    <n v="13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
  </r>
  <r>
    <n v="20261029"/>
    <s v="SGH - Prestar servicios profesionales jurídicos en la Subdirección de Gestión Humana, apoyando las gestiones legales y administrativas relacionadas con los procesos de nómina y recobro de incapacidades."/>
    <s v="09 - contratación directa"/>
    <x v="0"/>
    <s v="25 - contrato de prestacion de servicios profesionales"/>
    <s v="SEPTIEMBRE"/>
    <n v="3"/>
    <n v="0"/>
    <n v="180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1029-TH-8173-9--SGH - Prestar servicios profesionales jurídicos en la Subdirección de Gestión Humana, apoyando las gestiones legales y administrativas relacionadas con los procesos de nómina y recobro de incapacidades."/>
  </r>
  <r>
    <n v="20261030"/>
    <s v="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s v="09 - contratación directa"/>
    <x v="0"/>
    <s v="26 - contrato de prestacion de servicios de apoyo a la gestion"/>
    <s v="DICIEMBRE"/>
    <n v="1"/>
    <n v="4"/>
    <n v="48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30-TH-8126-9--Adición y prorroga Cto 234-26 cuyo objeto es &quo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quot;"/>
  </r>
  <r>
    <n v="20261031"/>
    <s v="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x v="0"/>
    <s v="25 - contrato de prestacion de servicios profesionales"/>
    <s v="DICIEMBRE"/>
    <n v="1"/>
    <n v="0"/>
    <n v="7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31-TH-8126-9--Adición y prorroga Cto 302-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1032"/>
    <s v="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s v="09 - contratación directa"/>
    <x v="0"/>
    <s v="25 - contrato de prestacion de servicios profesionales"/>
    <s v="DICIEMBRE"/>
    <n v="1"/>
    <n v="0"/>
    <n v="7000000"/>
    <s v="NO"/>
    <s v="Sub. Gestión Humana"/>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32-TH-8126-9--Adición y prorroga Cto 337-26 cuyo objeto es &quo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quot;"/>
  </r>
  <r>
    <n v="20261033"/>
    <s v="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s v="09 - contratación directa"/>
    <x v="1"/>
    <s v="02 - contratos interadministrativos"/>
    <s v="OCTUBRE"/>
    <n v="4"/>
    <n v="0"/>
    <n v="194696255"/>
    <s v="NO"/>
    <s v="Sub. Gestión Humana"/>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
  </r>
  <r>
    <n v="20261034"/>
    <s v="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s v="09 - contratación directa"/>
    <x v="0"/>
    <s v="25 - contrato de prestacion de servicios profesionales"/>
    <s v="DICIEMBRE"/>
    <n v="1"/>
    <n v="0"/>
    <n v="7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34-TH-8173-9--Adición y prorroga Cto 124-26 cuyo objeto es &quo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quot;"/>
  </r>
  <r>
    <n v="20261035"/>
    <s v="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s v="09 - contratación directa"/>
    <x v="0"/>
    <s v="25 - contrato de prestacion de servicios profesionales"/>
    <s v="DICIEMBRE"/>
    <n v="1"/>
    <n v="0"/>
    <n v="74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35-TH-8173-9--SGH - Adición y prorroga contrato 126-2026, cuyo objeto es &quo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quot;"/>
  </r>
  <r>
    <n v="20261036"/>
    <s v="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s v="09 - contratación directa"/>
    <x v="0"/>
    <s v="26 - contrato de prestacion de servicios de apoyo a la gestion"/>
    <s v="DICIEMBRE"/>
    <n v="1"/>
    <n v="0"/>
    <n v="3700000"/>
    <s v="NO"/>
    <s v="Sub. Gestión Humana"/>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1036-TH-8173-9--SGH - Adición y prorroga contrato 270-2026, cuyo objeto es &quot;SGH - Prestar servicios de apoyo a la Academia de la UAE Cuerpo Oficial de Bomberos de Bogotá D.C., para el desarrollo logístico y administrativo, contribuyendo al fortalecimiento de la formación, capacitación y gestión institucional.&quot;"/>
  </r>
  <r>
    <n v="20261037"/>
    <s v="Prestar servicios profesionales para apoyar las labores de Secretaría Común y las actividades administrativas, documentales y de seguimiento relacionadas con las actuaciones disciplinarias adelantadas por la Oficina de Control Disciplinario Interno."/>
    <s v="09 - contratación directa"/>
    <x v="0"/>
    <s v="25 - contrato de prestacion de servicios profesionales"/>
    <s v="NOVIEMBRE"/>
    <n v="2"/>
    <n v="0"/>
    <n v="858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37-TH-8126-9--Prestar servicios profesionales para apoyar las labores de Secretaría Común y las actividades administrativas, documentales y de seguimiento relacionadas con las actuaciones disciplinarias adelantadas por la Oficina de Control Disciplinario Interno."/>
  </r>
  <r>
    <n v="20261038"/>
    <s v="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x v="0"/>
    <s v="25 - contrato de prestacion de servicios profesionales"/>
    <s v="NOVIEMBRE"/>
    <n v="1"/>
    <n v="2"/>
    <n v="90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
  </r>
  <r>
    <n v="20261039"/>
    <s v="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s v="09 - contratación directa"/>
    <x v="0"/>
    <s v="25 - contrato de prestacion de servicios profesionales"/>
    <s v="NOVIEMBRE"/>
    <n v="1"/>
    <n v="25"/>
    <n v="146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
  </r>
  <r>
    <n v="20261040"/>
    <s v="Adición y prórroga del Contrato 245-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DICIEMBRE"/>
    <n v="1"/>
    <n v="15"/>
    <n v="105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0-TH-8126-9--Adición y prórroga del Contrato 245-2026 cuyo objeto es: Prestar servicios profesionales jurídicos para apoyar la instrucción y demás actuaciones que deban surtirse en los procesos disciplinarios adelantados por la Oficina de Control Disciplinario Interno."/>
  </r>
  <r>
    <n v="20261041"/>
    <s v="Adición y prórroga del Contrato 200-2026 cuyo objeto es: Prestar servicios profesionales jurídicos para apoyar la instrucción y demás actuaciones que deban surtirse en los procesos disciplinarios adelantados por la Oficina de Control Disciplinario Interno. "/>
    <s v="09 - contratación directa"/>
    <x v="0"/>
    <s v="25 - contrato de prestacion de servicios profesionales"/>
    <s v="DICIEMBRE"/>
    <n v="0"/>
    <n v="29"/>
    <n v="67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1-TH-8126-9--Adición y prórroga del Contrato 200-2026 cuyo objeto es: Prestar servicios profesionales jurídicos para apoyar la instrucción y demás actuaciones que deban surtirse en los procesos disciplinarios adelantados por la Oficina de Control Disciplinario Interno. "/>
  </r>
  <r>
    <n v="20261042"/>
    <s v="Adición y prórroga del Contrato 145-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NOVIEMBRE"/>
    <n v="1"/>
    <n v="9"/>
    <n v="91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2-TH-8126-9--Adición y prórroga del Contrato 145-2026 cuyo objeto es: Prestar servicios profesionales jurídicos para apoyar la instrucción y demás actuaciones que deban surtirse en los procesos disciplinarios adelantados por la Oficina de Control Disciplinario Interno."/>
  </r>
  <r>
    <n v="20261043"/>
    <s v="Adición y prórroga del Contrato 199-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NOVIEMBRE"/>
    <n v="1"/>
    <n v="2"/>
    <n v="74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3-TH-8126-9--Adición y prórroga del Contrato 199-2026 cuyo objeto es: Prestar servicios profesionales jurídicos para apoyar la instrucción y demás actuaciones que deban surtirse en los procesos disciplinarios adelantados por la Oficina de Control Disciplinario Interno."/>
  </r>
  <r>
    <n v="20261044"/>
    <s v="Adición y prórroga del Contrato 558-2026 cuyo objeto es: Prestar servicios profesionales jurídicos para apoyar la instrucción y demás actuaciones que deban surtirse en los procesos disciplinarios adelantados por la Oficina de Control Disciplinario Interno."/>
    <s v="09 - contratación directa"/>
    <x v="0"/>
    <s v="25 - contrato de prestacion de servicios profesionales"/>
    <s v="DICIEMBRE"/>
    <n v="0"/>
    <n v="23"/>
    <n v="53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4-TH-8126-9--Adición y prórroga del Contrato 558-2026 cuyo objeto es: Prestar servicios profesionales jurídicos para apoyar la instrucción y demás actuaciones que deban surtirse en los procesos disciplinarios adelantados por la Oficina de Control Disciplinario Interno."/>
  </r>
  <r>
    <n v="20261045"/>
    <s v="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s v="09 - contratación directa"/>
    <x v="0"/>
    <s v="25 - contrato de prestacion de servicios profesionales"/>
    <s v="OCTUBRE"/>
    <n v="2"/>
    <n v="21"/>
    <n v="1620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
  </r>
  <r>
    <n v="20261046"/>
    <s v="Adición y prórroga del Contrato 203-2026 cuyo objeto es: Prestación de servicios de apoyo técnico a la Oficina de Control Disciplinario Interno de la UAECOB para la gestión y cumplimiento de las funciones administrativas asignadas."/>
    <s v="09 - contratación directa"/>
    <x v="0"/>
    <s v="25 - contrato de prestacion de servicios profesionales"/>
    <s v="DICIEMBRE"/>
    <n v="0"/>
    <n v="28"/>
    <n v="3360000"/>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6-TH-8126-9--Adición y prórroga del Contrato 203-2026 cuyo objeto es: Prestación de servicios de apoyo técnico a la Oficina de Control Disciplinario Interno de la UAECOB para la gestión y cumplimiento de las funciones administrativas asignadas."/>
  </r>
  <r>
    <n v="20261047"/>
    <s v="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s v="09 - contratación directa"/>
    <x v="0"/>
    <s v="25 - contrato de prestacion de servicios profesionales"/>
    <s v="OCTUBRE"/>
    <n v="2"/>
    <n v="5"/>
    <n v="6066667"/>
    <s v="NO"/>
    <s v="Oficina de Control Disciplinario Interno"/>
    <s v="Diana Marcela Zarabanda Suarez"/>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
  </r>
  <r>
    <n v="20261048"/>
    <s v="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s v="09 - contratación directa"/>
    <x v="0"/>
    <s v="25 - contrato de prestacion de servicios profesionales"/>
    <s v="NOVIEMBRE"/>
    <n v="1"/>
    <n v="15"/>
    <n v="100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
  </r>
  <r>
    <n v="20261049"/>
    <s v="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s v="09 - contratación directa"/>
    <x v="0"/>
    <s v="26 - contrato de prestacion de servicios de apoyo a la gestion"/>
    <s v="NOVIEMBRE"/>
    <n v="1"/>
    <n v="0"/>
    <n v="3284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
  </r>
  <r>
    <n v="20261050"/>
    <s v="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s v="09 - contratación directa"/>
    <x v="0"/>
    <s v="25 - contrato de prestacion de servicios profesionales"/>
    <s v="OCTUBRE"/>
    <n v="2"/>
    <n v="0"/>
    <n v="99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
  </r>
  <r>
    <n v="20261051"/>
    <s v="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s v="09 - contratación directa"/>
    <x v="0"/>
    <s v="25 - contrato de prestacion de servicios profesionales"/>
    <s v="OCTUBRE"/>
    <n v="3"/>
    <n v="0"/>
    <n v="258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51-TH-8173-2--ADICIÓN Y PRÓRROGA AL CONTRATO DE PRESTACIÓN DE SERVICIOS # 195-2026, cuyo objeto es: &quo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quot;"/>
  </r>
  <r>
    <n v="20261052"/>
    <s v="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s v="09 - contratación directa"/>
    <x v="0"/>
    <s v="25 - contrato de prestacion de servicios profesionales"/>
    <s v="OCTUBRE"/>
    <n v="2"/>
    <n v="0"/>
    <n v="10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
  </r>
  <r>
    <n v="20261053"/>
    <s v="prestación de servicios profesionales para ejecutar el componente de información geográfica, georreferenciación y generación de alertas mediante las herramientas, sistemas de información y recursos disponibles y a cargo de la Subdirección Operativa-S.O."/>
    <s v="09 - contratación directa"/>
    <x v="0"/>
    <s v="25 - contrato de prestacion de servicios profesionales"/>
    <s v="SEPTIEMBRE"/>
    <n v="3"/>
    <n v="0"/>
    <n v="195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3-TH-8173-1--prestación de servicios profesionales para ejecutar el componente de información geográfica, georreferenciación y generación de alertas mediante las herramientas, sistemas de información y recursos disponibles y a cargo de la Subdirección Operativa-S.O."/>
  </r>
  <r>
    <n v="20261054"/>
    <s v="Prestación de servicios profesionales jurídicos para realizar el seguimiento y control de las actividades relacionadas con procesos contractuales, para el acompañamiento de los programas y metas de la Subdirección Operativa-S.O."/>
    <s v="09 - contratación directa"/>
    <x v="0"/>
    <s v="25 - contrato de prestacion de servicios profesionales"/>
    <s v="SEPTIEMBRE"/>
    <n v="4"/>
    <n v="0"/>
    <n v="36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4-TH-8173-2--Prestación de servicios profesionales jurídicos para realizar el seguimiento y control de las actividades relacionadas con procesos contractuales, para el acompañamiento de los programas y metas de la Subdirección Operativa-S.O."/>
  </r>
  <r>
    <n v="20261055"/>
    <s v="Prestación de servicios profesionales para gestionar actividades de articulación con las alcaldías locales del distrito para la optimización de procesos operativos, para el desarrollo de los programas de la Subdirección Operativa-S.O."/>
    <s v="09 - contratación directa"/>
    <x v="0"/>
    <s v="25 - contrato de prestacion de servicios profesionales"/>
    <s v="SEPTIEMBRE"/>
    <n v="3"/>
    <n v="0"/>
    <n v="225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5-TH-8173-2--Prestación de servicios profesionales para gestionar actividades de articulación con las alcaldías locales del distrito para la optimización de procesos operativos, para el desarrollo de los programas de la Subdirección Operativa-S.O."/>
  </r>
  <r>
    <n v="20261056"/>
    <s v="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s v="09 - contratación directa"/>
    <x v="0"/>
    <s v="26 - contrato de prestacion de servicios de apoyo a la gestion"/>
    <s v="SEPTIEMBRE"/>
    <n v="3"/>
    <n v="0"/>
    <n v="9600000"/>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
  </r>
  <r>
    <n v="20261057"/>
    <s v="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s v="09 - contratación directa"/>
    <x v="0"/>
    <s v="26 - contrato de prestacion de servicios de apoyo a la gestion"/>
    <s v="SEPTIEMBRE"/>
    <n v="3"/>
    <n v="0"/>
    <n v="135825"/>
    <s v="NO"/>
    <s v="Sub. Operativa"/>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
  </r>
  <r>
    <n v="20261058"/>
    <s v="Prestación de servicios profesionales para apoyar jurídicamente los proyectos, procesos y procedimientos, para el desarrollo de los programas de la Subdirección Operativa-S.O"/>
    <s v="09 - contratación directa"/>
    <x v="0"/>
    <s v="25 - contrato de prestacion de servicios profesionales"/>
    <s v="SEPTIEMBRE"/>
    <n v="3"/>
    <n v="0"/>
    <n v="24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58-TH-8173-2--Prestación de servicios profesionales para apoyar jurídicamente los proyectos, procesos y procedimientos, para el desarrollo de los programas de la Subdirección Operativa-S.O"/>
  </r>
  <r>
    <n v="20261059"/>
    <s v="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x v="1"/>
    <s v="15 - contrato de seguros"/>
    <s v="OCTUBRE"/>
    <n v="0"/>
    <n v="123"/>
    <n v="176602212"/>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1060"/>
    <s v="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s v="01 - licitación pública"/>
    <x v="1"/>
    <s v="15 - contrato de seguros"/>
    <s v="OCTUBRE"/>
    <n v="0"/>
    <n v="83"/>
    <n v="1756523433"/>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1060-BS-No a-li-Adición y prorroga No. 1 al contrato 546-2026 que tiene como objeto &quot;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
  </r>
  <r>
    <n v="20261061"/>
    <s v="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s v="01 - licitación pública"/>
    <x v="1"/>
    <s v="15 - contrato de seguros"/>
    <s v="OCTUBRE"/>
    <n v="0"/>
    <n v="75"/>
    <n v="43134273"/>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1061-BS-No a-li-Adición y prorroga No. 1 al contrato 548-2026 que tiene como objeto &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
  </r>
  <r>
    <n v="20261062"/>
    <s v="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s v="01 - licitación pública"/>
    <x v="1"/>
    <s v="15 - contrato de seguros"/>
    <s v="OCTUBRE"/>
    <n v="0"/>
    <n v="83"/>
    <n v="71221001"/>
    <s v="NO"/>
    <s v="Sub. Gestión Corporativa"/>
    <s v="Fatima Veronica Quintero Nuñez"/>
    <x v="1"/>
    <s v="Subdirector@ de Gestión Corporativa"/>
    <x v="1"/>
    <s v="84131501;_x000a_84131503;_x000a_84131504;_x000a_84131512;_x000a_84131513;_x000a_84131515; _x000a_84131601,_x000a_84131603;_x000a_84131607;_x000a_84131515;"/>
    <s v="No aplica"/>
    <s v="No a"/>
    <s v="li"/>
    <s v="NA"/>
    <s v="NA"/>
    <s v="NA"/>
    <s v="N/A"/>
    <s v="N/A"/>
    <s v="N/A-N/A"/>
    <s v="N/A"/>
    <s v="N/A"/>
    <s v="N/A_N/A"/>
    <s v="N/A-N/A N/A_N/A"/>
    <s v="NANANAN/AN/A"/>
    <s v="N/A"/>
    <s v="No Aplica"/>
    <s v="No Secop"/>
    <s v="20261062-BS-No a-li-Adición y prorroga Nro 1 al contrato Nro. 547-2026 que tiene como objet0&quo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
  </r>
  <r>
    <n v="20261063"/>
    <s v="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s v="09 - contratación directa"/>
    <x v="0"/>
    <s v="25 - contrato de prestacion de servicios profesionales"/>
    <s v="OCTUBRE"/>
    <n v="4"/>
    <n v="0"/>
    <n v="15483261"/>
    <s v="NO"/>
    <s v="Sub. Gestión Corporativa"/>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
  </r>
  <r>
    <n v="20261064"/>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x v="1"/>
    <s v="03 - contrato de prestacion de servicios"/>
    <s v="OCTUBRE"/>
    <n v="0"/>
    <n v="0"/>
    <n v="733444577"/>
    <s v="NO"/>
    <s v="Sub. Gestión Corporativa"/>
    <s v="Fatima Veronica Quintero Nuñez"/>
    <x v="1"/>
    <s v="Subdirector@ de Gestión Corporativa"/>
    <x v="1"/>
    <s v="44121700;_x000a_44121800;_x000a_44121900;_x000a_44122000;"/>
    <s v="No aplica"/>
    <s v="No a"/>
    <s v="li"/>
    <s v="NA"/>
    <s v="NA"/>
    <s v="NA"/>
    <s v="N/A"/>
    <s v="N/A"/>
    <s v="N/A-N/A"/>
    <s v="N/A"/>
    <s v="N/A"/>
    <s v="N/A_N/A"/>
    <s v="N/A-N/A N/A_N/A"/>
    <s v="NANANAN/AN/A"/>
    <s v="N/A"/>
    <s v="No Aplica"/>
    <s v="No Secop"/>
    <s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
  </r>
  <r>
    <n v="20261065"/>
    <s v="Adicion  y proroga cto  107-2026 Prestar servicios apoyo técnico para el desarrollo de los contenidos graficos, piezas comunicativa y de imagen institucional para la Subdirección de Gestión del riesgo._SGR"/>
    <s v="09 - contratación directa"/>
    <x v="0"/>
    <s v="25 - contrato de prestacion de servicios profesionales"/>
    <s v="OCTUBRE"/>
    <n v="2"/>
    <n v="10"/>
    <n v="8909055"/>
    <s v="NO"/>
    <s v="Sub. Gestión Riesgos"/>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1065-TH-8173-1--Adicion  y proroga cto  107-2026 Prestar servicios apoyo técnico para el desarrollo de los contenidos graficos, piezas comunicativa y de imagen institucional para la Subdirección de Gestión del riesgo._SGR"/>
  </r>
  <r>
    <n v="20261066"/>
    <s v="Adición y prórroga del contrato No. 067 de 2026 cuyo objeto es &quot;Prestar los servicios profesionales como contador público en la Oficina de Control Interno para el desarrollo del Plan Anual de Auditorías&quot;."/>
    <s v="09 - contratación directa"/>
    <x v="0"/>
    <s v="25 - contrato de prestacion de servicios profesionales"/>
    <s v="DICIEMBRE"/>
    <n v="0"/>
    <n v="31"/>
    <n v="7999691"/>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66-TH-8126-9--Adición y prórroga del contrato No. 067 de 2026 cuyo objeto es &quot;Prestar los servicios profesionales como contador público en la Oficina de Control Interno para el desarrollo del Plan Anual de Auditorías&quot;."/>
  </r>
  <r>
    <n v="20261067"/>
    <s v="Adición y prórroga del contrato No. 068 de 2026 cuyo objeto es &quot;Prestar los servicios profesionales como abogado en la Oficina de Control Interno para el desarrollo del Plan Anual de Auditorías&quot;"/>
    <s v="09 - contratación directa"/>
    <x v="0"/>
    <s v="25 - contrato de prestacion de servicios profesionales"/>
    <s v="DICIEMBRE"/>
    <n v="0"/>
    <n v="32"/>
    <n v="8257745"/>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67-TH-8126-9--Adición y prórroga del contrato No. 068 de 2026 cuyo objeto es &quot;Prestar los servicios profesionales como abogado en la Oficina de Control Interno para el desarrollo del Plan Anual de Auditorías&quot;"/>
  </r>
  <r>
    <n v="20261068"/>
    <s v="Adición y prórroga del contrato No. 049 de 2026 cuyo objeto es &quot;Prestar los servicios profesionales en la Oficina de Control Interno para el desarrollo del Plan Anual de Auditorías&quot;"/>
    <s v="09 - contratación directa"/>
    <x v="0"/>
    <s v="25 - contrato de prestacion de servicios profesionales"/>
    <s v="DICIEMBRE"/>
    <n v="0"/>
    <n v="32"/>
    <n v="8257745"/>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68-TH-8126-9--Adición y prórroga del contrato No. 049 de 2026 cuyo objeto es &quot;Prestar los servicios profesionales en la Oficina de Control Interno para el desarrollo del Plan Anual de Auditorías&quot;"/>
  </r>
  <r>
    <n v="20261069"/>
    <s v="Adición y prórroga del contrato No. 056 de 2026 cuyo objeto es &quot;Prestar los servicios profesionales en la Oficina de Control Interno para el desarrollo del Plan Anual de Auditorías&quot;"/>
    <s v="09 - contratación directa"/>
    <x v="0"/>
    <s v="25 - contrato de prestacion de servicios profesionales"/>
    <s v="DICIEMBRE"/>
    <n v="0"/>
    <n v="28"/>
    <n v="4363248"/>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69-TH-8126-9--Adición y prórroga del contrato No. 056 de 2026 cuyo objeto es &quot;Prestar los servicios profesionales en la Oficina de Control Interno para el desarrollo del Plan Anual de Auditorías&quot;"/>
  </r>
  <r>
    <n v="20261070"/>
    <s v="Adición y prórroga del contrato No. 378 de 2026 cuyo objeto es &quot;Prestar los servicios profesionales en la Oficina de Control Interno para el desarrollo del Plan Anual de Auditorías&quot;"/>
    <s v="09 - contratación directa"/>
    <x v="0"/>
    <s v="25 - contrato de prestacion de servicios profesionales"/>
    <s v="DICIEMBRE"/>
    <n v="0"/>
    <n v="30"/>
    <n v="6500000"/>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70-TH-8126-9--Adición y prórroga del contrato No. 378 de 2026 cuyo objeto es &quot;Prestar los servicios profesionales en la Oficina de Control Interno para el desarrollo del Plan Anual de Auditorías&quot;"/>
  </r>
  <r>
    <n v="20261071"/>
    <s v="Adición y prórroga del contrato No. 073 de 2026 cuyo objeto es &quot;Prestar servicios de apoyo a la gestión como técnico en la Oficina de Control Interno para ejecutar procesos y procedimientos administrativos y asistenciales teniendo en cuenta el Plan Anual de Auditorías&quot;."/>
    <s v="09 - contratación directa"/>
    <x v="0"/>
    <s v="25 - contrato de prestacion de servicios profesionales"/>
    <s v="DICIEMBRE"/>
    <n v="0"/>
    <n v="28"/>
    <n v="3657139"/>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71-TH-8126-9--Adición y prórroga del contrato No. 073 de 2026 cuyo objeto es &quot;Prestar servicios de apoyo a la gestión como técnico en la Oficina de Control Interno para ejecutar procesos y procedimientos administrativos y asistenciales teniendo en cuenta el Plan Anual de Auditorías&quot;."/>
  </r>
  <r>
    <n v="20261072"/>
    <s v="Adición y prórroga del contrato No. 373 de 2026 cuyo objeto es &quot;Prestar los servicios profesionales en la Oficina de Control Interno para el desarrollo del Plan Anual de Auditorías&quot;"/>
    <s v="09 - contratación directa"/>
    <x v="0"/>
    <s v="25 - contrato de prestacion de servicios profesionales"/>
    <s v="DICIEMBRE"/>
    <n v="0"/>
    <n v="30"/>
    <n v="7700000"/>
    <s v="NO"/>
    <s v="Oficina de Control Interno"/>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72-TH-8126-9--Adición y prórroga del contrato No. 373 de 2026 cuyo objeto es &quot;Prestar los servicios profesionales en la Oficina de Control Interno para el desarrollo del Plan Anual de Auditorías&quot;"/>
  </r>
  <r>
    <n v="20261073"/>
    <s v="Aduqisición de botas para el uso diario para el personal uniformado de la UAE Cuerpo Oficial de Bomberos de Bogotá."/>
    <s v="04 - contratación mínima cuantía"/>
    <x v="1"/>
    <s v="06 - contrato de compraventa"/>
    <s v="OCTUBRE"/>
    <n v="5"/>
    <n v="0"/>
    <n v="46837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1002092929012 Partes y accesorios para artículos de protección personal"/>
    <s v="Si Secop "/>
    <s v="20261073-BS-8173-2--Aduqisición de botas para el uso diario para el personal uniformado de la UAE Cuerpo Oficial de Bomberos de Bogotá."/>
  </r>
  <r>
    <n v="20261074"/>
    <s v="adición y prórroga al contrato de prestación de servicios #082-2026, cuyo objeto es: &quot;prestación de servicios profesionales para el fortalecimiento de los procesos de comunicaciones y en articulación con otras dependencias de la entidad y de los procesos y programas a cargo de la subdirección operativa-s.o.&quot;"/>
    <s v="09 - contratación directa"/>
    <x v="0"/>
    <s v="25 - contrato de prestacion de servicios profesionales"/>
    <s v="NOVIEMBRE"/>
    <n v="1"/>
    <n v="15"/>
    <n v="12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74-TH-8173-2--adición y prórroga al contrato de prestación de servicios #082-2026, cuyo objeto es: &quot;prestación de servicios profesionales para el fortalecimiento de los procesos de comunicaciones y en articulación con otras dependencias de la entidad y de los procesos y programas a cargo de la subdirección operativa-s.o.&quot;"/>
  </r>
  <r>
    <n v="20261075"/>
    <s v="adición y prórroga al contrato de prestación de servicios #100-2026, cuyo objeto es: &quo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quot;"/>
    <s v="09 - contratación directa"/>
    <x v="0"/>
    <s v="25 - contrato de prestacion de servicios profesionales"/>
    <s v="NOVIEMBRE"/>
    <n v="2"/>
    <n v="15"/>
    <n v="2425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75-TH-8173-2--adición y prórroga al contrato de prestación de servicios #100-2026, cuyo objeto es: &quo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quot;"/>
  </r>
  <r>
    <n v="20261076"/>
    <s v="adición y prórroga al contrato de prestación de servicios #168-2026, cuyo objeto es: &quo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quot;"/>
    <s v="09 - contratación directa"/>
    <x v="0"/>
    <s v="25 - contrato de prestacion de servicios profesionales"/>
    <s v="NOVIEMBRE"/>
    <n v="1"/>
    <n v="0"/>
    <n v="2300166"/>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76-TH-8173-2--adición y prórroga al contrato de prestación de servicios #168-2026, cuyo objeto es: &quo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quot;"/>
  </r>
  <r>
    <n v="20261077"/>
    <s v="adición y prórroga al contrato de prestación de servicios #226-2026, cuyo objeto es: &quot;prestar servicios profesionales para apoyar el fortalecimiento, articulación, seguimiento y gestión de los proyectos de inversión, planes e indicadores de gestión, para el desarrollo de los programas de la subdirección operativa-s.o.&quot;"/>
    <s v="09 - contratación directa"/>
    <x v="0"/>
    <s v="25 - contrato de prestacion de servicios profesionales"/>
    <s v="NOVIEMBRE"/>
    <n v="2"/>
    <n v="0"/>
    <n v="2300166"/>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77-TH-8173-2--adición y prórroga al contrato de prestación de servicios #226-2026, cuyo objeto es: &quot;prestar servicios profesionales para apoyar el fortalecimiento, articulación, seguimiento y gestión de los proyectos de inversión, planes e indicadores de gestión, para el desarrollo de los programas de la subdirección operativa-s.o.&quot;"/>
  </r>
  <r>
    <n v="20261078"/>
    <s v="adición y prórroga al contrato de prestación de servicios #264-2026, cuyo objeto es: &quot;prestación de servicios profesionales para apoyar en el análisis de información, reportes, y seguimientos relacionados con la atención de emergencias de la entidad y de los programas a cargo de la subdirección operativa-s.o.&quot;"/>
    <s v="09 - contratación directa"/>
    <x v="0"/>
    <s v="25 - contrato de prestacion de servicios profesionales"/>
    <s v="NOVIEMBRE"/>
    <n v="1"/>
    <n v="0"/>
    <n v="2300167"/>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1078-TH-8173-2--adición y prórroga al contrato de prestación de servicios #264-2026, cuyo objeto es: &quot;prestación de servicios profesionales para apoyar en el análisis de información, reportes, y seguimientos relacionados con la atención de emergencias de la entidad y de los programas a cargo de la subdirección operativa-s.o.&quot;"/>
  </r>
  <r>
    <n v="20261079"/>
    <s v="Adición No.1 y prorroga No.1 al contrato 396-2026 cuyo objeto es  &quot;Arrendamiento de instalaciones estación Ferias-SGC"/>
    <s v="09 - contratación directa"/>
    <x v="1"/>
    <s v="07 - contrato de arrendamiento"/>
    <s v="OCTUBRE"/>
    <n v="2"/>
    <n v="0"/>
    <n v="28536200"/>
    <s v="NO"/>
    <s v="Sub. Gestión Corporativa"/>
    <s v="Fatima Veronica Quintero Nuñez"/>
    <x v="1"/>
    <s v="Subdirector@ de Gestión Corporativa"/>
    <x v="1"/>
    <s v="80131502;"/>
    <s v="No aplica"/>
    <s v="No a"/>
    <s v="li"/>
    <s v="NA"/>
    <s v="NA"/>
    <s v="NA"/>
    <s v="N/A"/>
    <s v="N/A"/>
    <s v="N/A-N/A"/>
    <s v="N/A"/>
    <s v="N/A"/>
    <s v="N/A_N/A"/>
    <s v="N/A-N/A N/A_N/A"/>
    <s v="NANANAN/AN/A"/>
    <s v="N/A"/>
    <s v="No Aplica"/>
    <s v="No Secop"/>
    <s v="20261079-BS-No a-li-Adición No.1 y prorroga No.1 al contrato 396-2026 cuyo objeto es  &quot;Arrendamiento de instalaciones estación Ferias-SGC"/>
  </r>
  <r>
    <n v="20261080"/>
    <s v="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quot;realizar la adecuación y mejoramiento de las instalaciones de las estaciones de Bomberos de la UAE Cuerpo oficial de Bomberos Bogotá&quot;-SGC"/>
    <s v="91 - n/a acto administrativo (resolución, decreto, acuerdo, etc.)"/>
    <x v="1"/>
    <s v="12 - resolucion"/>
    <s v="OCTUBRE"/>
    <n v="0"/>
    <n v="0"/>
    <n v="7403786"/>
    <s v="NO"/>
    <s v="Sub. Gestión Corporativa"/>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1080-BS-8173-7--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quot;realizar la adecuación y mejoramiento de las instalaciones de las estaciones de Bomberos de la UAE Cuerpo oficial de Bomberos Bogotá&quot;-SGC"/>
  </r>
  <r>
    <n v="20261081"/>
    <s v="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x v="1"/>
    <s v="03 - contrato de prestacion de servicios"/>
    <s v="OCTUBRE"/>
    <n v="2"/>
    <n v="16"/>
    <n v="44035054"/>
    <s v="NO"/>
    <s v="Sub. Gestión Corporativa"/>
    <s v="Fatima Veronica Quintero Nuñez"/>
    <x v="1"/>
    <s v="Subdirector@ de Gestión Corporativa"/>
    <x v="1"/>
    <s v="78102206;"/>
    <s v="No aplica"/>
    <s v="No a"/>
    <s v="li"/>
    <s v="NA"/>
    <s v="NA"/>
    <s v="NA"/>
    <s v="N/A"/>
    <s v="N/A"/>
    <s v="N/A-N/A"/>
    <s v="N/A"/>
    <s v="N/A"/>
    <s v="N/A_N/A"/>
    <s v="N/A-N/A N/A_N/A"/>
    <s v="NANANAN/AN/A"/>
    <s v="N/A"/>
    <s v="No Aplica"/>
    <s v="No Secop"/>
    <s v="20261081-BS-No a-li-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1082"/>
    <s v="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
    <s v="09 - contratación directa"/>
    <x v="0"/>
    <s v="25 - contrato de prestacion de servicios profesionales"/>
    <s v="OCTUBRE"/>
    <n v="3"/>
    <n v="0"/>
    <n v="21000000"/>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1082-TH-8126-1--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
  </r>
  <r>
    <n v="20261083"/>
    <s v="Prestar servicios profesionales para apoyar la ejecución de actividades orientadas a la implementación de las políticas establecidas en el marco del Modelo Integrado de Planeación y Gestión - MIPG, liderado por la Oficina Asesora de Planeación."/>
    <s v="09 - contratación directa"/>
    <x v="0"/>
    <s v="25 - contrato de prestacion de servicios profesionales"/>
    <s v="NOVIEMBRE"/>
    <n v="2"/>
    <n v="0"/>
    <n v="13118368"/>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1083-TH-8126-1--Prestar servicios profesionales para apoyar la ejecución de actividades orientadas a la implementación de las políticas establecidas en el marco del Modelo Integrado de Planeación y Gestión - MIPG, liderado por la Oficina Asesora de Planeación."/>
  </r>
  <r>
    <n v="20261084"/>
    <s v="Prestar servicios profesionales para apoyar jurídicamente la gestión contractual y administrativa de la Oficina Asesora de Planeación, de conformidad con los lineamientos internos y en el marco del Modelo Integrado de Planeación y Gestión - MIPG."/>
    <s v="09 - contratación directa"/>
    <x v="0"/>
    <s v="25 - contrato de prestacion de servicios profesionales"/>
    <s v="NOVIEMBRE"/>
    <n v="2"/>
    <n v="0"/>
    <n v="13118368"/>
    <s v="NO"/>
    <s v="Oficina Asesora de Planeación"/>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1084-TH-8126-1--Prestar servicios profesionales para apoyar jurídicamente la gestión contractual y administrativa de la Oficina Asesora de Planeación, de conformidad con los lineamientos internos y en el marco del Modelo Integrado de Planeación y Gestión - MIPG."/>
  </r>
  <r>
    <n v="20261085"/>
    <s v="Prestar los servicios profesionales en apoyo a la estructuración e implementación de las herramientas misionales, desarrolladas como soporte a los procesos y procedimientos de la U.A.E. Cuerpo Oficial de Bomberos de Bogotá."/>
    <s v="09 - contratación directa"/>
    <x v="0"/>
    <s v="25 - contrato de prestacion de servicios profesionales"/>
    <s v="NOVIEMBRE"/>
    <n v="2"/>
    <n v="0"/>
    <n v="13983333"/>
    <s v="NO"/>
    <s v="Dirección Tic"/>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1085-TH-8126-4--Prestar los servicios profesionales en apoyo a la estructuración e implementación de las herramientas misionales, desarrolladas como soporte a los procesos y procedimientos de la U.A.E. Cuerpo Oficial de Bomberos de Bogotá."/>
  </r>
  <r>
    <n v="20261086"/>
    <s v="Adición y prórroga al contrato No. 374 de 2026 cuyo objeto es &quo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quot;"/>
    <s v="09 - contratación directa"/>
    <x v="0"/>
    <s v="25 - contrato de prestacion de servicios profesionales"/>
    <s v="DICIEMBRE"/>
    <n v="0"/>
    <n v="26"/>
    <n v="6760000"/>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86-TH-8126-5--Adición y prórroga al contrato No. 374 de 2026 cuyo objeto es &quo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quot;"/>
  </r>
  <r>
    <n v="20261087"/>
    <s v="Prestar servicios de apoyo a la gestión para el seguimiento técnico y administrativo de las actividades de mantenimiento de los vehículos de la U.A.E. Cuerpo Oficial de Bomberos de Bogotá -  SBLG"/>
    <s v="09 - contratación directa"/>
    <x v="0"/>
    <s v="26 - contrato de prestacion de servicios de apoyo a la gestion"/>
    <s v="OCTUBRE"/>
    <n v="5"/>
    <n v="0"/>
    <n v="180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1087-TH-8173-4--Prestar servicios de apoyo a la gestión para el seguimiento técnico y administrativo de las actividades de mantenimiento de los vehículos de la U.A.E. Cuerpo Oficial de Bomberos de Bogotá -  SBLG"/>
  </r>
  <r>
    <n v="20261088"/>
    <s v="Adición y prórroga al contrato 370 de 2026 cuyo objeto es: &quot;Prestar los servicios profesionales para apoyar la depuración de la cartera de cobro coactivo, así como actividades propias de la defensa judicial de la Entidad y demas actiuaciones relacionadas que requiera la Oficina Jurídica&quot;"/>
    <s v="09 - contratación directa"/>
    <x v="0"/>
    <s v="25 - contrato de prestacion de servicios profesionales"/>
    <s v="OCTUBRE"/>
    <n v="2"/>
    <n v="15"/>
    <n v="1875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88-TH-8126-9--Adición y prórroga al contrato 370 de 2026 cuyo objeto es: &quot;Prestar los servicios profesionales para apoyar la depuración de la cartera de cobro coactivo, así como actividades propias de la defensa judicial de la Entidad y demas actiuaciones relacionadas que requiera la Oficina Jurídica&quot;"/>
  </r>
  <r>
    <n v="20261089"/>
    <s v="Adición y prórroga al contrato 413 de 2026 cuyo objeto es: &quot;Prestar los servicios de apoyo para las gestiones documentales y administrativas requerida por la Oficina Jurídica&quot;."/>
    <s v="09 - contratación directa"/>
    <x v="0"/>
    <s v="26 - contrato de prestacion de servicios de apoyo a la gestion"/>
    <s v="OCTUBRE"/>
    <n v="2"/>
    <n v="18"/>
    <n v="93775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89-TH-8126-9--Adición y prórroga al contrato 413 de 2026 cuyo objeto es: &quot;Prestar los servicios de apoyo para las gestiones documentales y administrativas requerida por la Oficina Jurídica&quot;."/>
  </r>
  <r>
    <n v="20261090"/>
    <s v="Prestar los servicios de apoyo para las gestiones administrativas requeridas en la Oficina Jurídica."/>
    <s v="09 - contratación directa"/>
    <x v="0"/>
    <s v="26 - contrato de prestacion de servicios de apoyo a la gestion"/>
    <s v="OCTUBRE"/>
    <n v="2"/>
    <n v="15"/>
    <n v="90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090-TH-8126-9--Prestar los servicios de apoyo para las gestiones administrativas requeridas en la Oficina Jurídica."/>
  </r>
  <r>
    <n v="20261091"/>
    <s v="Adición y prórroga al contrato 340 de 2026 cuyo objeto es: &quot;Prestar los servicios profesionales para realizar el acompañamiento administrativo y financiero en temas de liquidación y cierre de expedientes, como demás actuaciones administrativas requeridas de los procesos contractuales&quot;"/>
    <s v="09 - contratación directa"/>
    <x v="0"/>
    <s v="25 - contrato de prestacion de servicios profesionales"/>
    <s v="OCTUBRE"/>
    <n v="2"/>
    <n v="15"/>
    <n v="225000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91-TH-8126-9--Adición y prórroga al contrato 340 de 2026 cuyo objeto es: &quot;Prestar los servicios profesionales para realizar el acompañamiento administrativo y financiero en temas de liquidación y cierre de expedientes, como demás actuaciones administrativas requeridas de los procesos contractuales&quot;"/>
  </r>
  <r>
    <n v="20261092"/>
    <s v="Adición y prórroga al contrato 443 de 2026 cuyo objeto es: &quot;Prestar servicios profesionales para realizar la gestión de tramites y actividades que se requieran en los diferentes procesos disciplinarios propios de la etapa de juzgamiento de la Oficina Jurídica en la UAECOB&quot;"/>
    <s v="09 - contratación directa"/>
    <x v="0"/>
    <s v="25 - contrato de prestacion de servicios profesionales"/>
    <s v="OCTUBRE"/>
    <n v="1"/>
    <n v="24"/>
    <n v="10372500"/>
    <s v="NO"/>
    <s v="Oficina Juridica"/>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092-TH-8126-9--Adición y prórroga al contrato 443 de 2026 cuyo objeto es: &quot;Prestar servicios profesionales para realizar la gestión de tramites y actividades que se requieran en los diferentes procesos disciplinarios propios de la etapa de juzgamiento de la Oficina Jurídica en la UAECOB&quot;"/>
  </r>
  <r>
    <n v="20261093"/>
    <s v="Adición  Cto 603-2026 cuyo objeto es &quot;SGH - Adquirir elementos de protección personal para prevenir la aparición de enfermedades ocupacionales en el oido, de los funcionarios de la UAE Cuerpo Oficial de Bomberos de Bogotá&quot;"/>
    <s v="02 - selec. abrev. menor cuantía"/>
    <x v="1"/>
    <s v="06 - contrato de compraventa"/>
    <s v="NOVIEMBRE"/>
    <n v="4"/>
    <n v="0"/>
    <n v="11080000"/>
    <s v="NO"/>
    <s v="Sub. Gestión Humana"/>
    <s v="Jose Andres Ponce Caicedo"/>
    <x v="1"/>
    <s v="Subdirector@ de Gestión Corporativa"/>
    <x v="1"/>
    <s v="46181900;46181901"/>
    <s v="No aplica"/>
    <s v="No aplica"/>
    <s v="No aplica"/>
    <s v="NA"/>
    <s v="NA"/>
    <s v="NA"/>
    <s v="N/A"/>
    <s v="N/A"/>
    <s v="N/A-N/A"/>
    <s v="N/A"/>
    <s v="N/A"/>
    <s v="N/A_N/A"/>
    <s v="N/A-N/A N/A_N/A"/>
    <s v="NANANAN/AN/A"/>
    <s v="N/A"/>
    <s v="No Aplica"/>
    <s v="No Secop"/>
    <s v="20261093-BS-No aplica-No aplica-Adición  Cto 603-2026 cuyo objeto es &quot;SGH - Adquirir elementos de protección personal para prevenir la aparición de enfermedades ocupacionales en el oido, de los funcionarios de la UAE Cuerpo Oficial de Bomberos de Bogotá&quot;"/>
  </r>
  <r>
    <n v="20261094"/>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x v="0"/>
    <s v="25 - contrato de prestacion de servicios profesionales"/>
    <s v="DICIEMBRE"/>
    <n v="0"/>
    <n v="17"/>
    <n v="3150274"/>
    <s v="NO"/>
    <s v="Dirección Tic"/>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1094-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10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x v="0"/>
    <s v="25 - contrato de prestacion de servicios profesionales"/>
    <s v="OCTUBRE"/>
    <n v="2"/>
    <n v="0"/>
    <n v="16000000"/>
    <s v="NO"/>
    <s v="Sub. Operativa"/>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10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1096"/>
    <s v="Adición y Prorroga del Contrato 115 de 2026, cuyo objeto es &quot;Prestación de servicios profesionales para la gestión, seguimiento y control administrativo, técnico y operativo del proceso de mantenimiento del parque automotor a cargo de la Subdirección Logística - SBLG.&quot;"/>
    <s v="09 - contratación directa"/>
    <x v="0"/>
    <s v="25 - contrato de prestacion de servicios profesionales"/>
    <s v="OCTUBRE"/>
    <n v="3"/>
    <n v="0"/>
    <n v="27900000"/>
    <s v="NO"/>
    <s v="Sub. Logística"/>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1096-TH-8173-4--Adición y Prorroga del Contrato 115 de 2026, cuyo objeto es &quot;Prestación de servicios profesionales para la gestión, seguimiento y control administrativo, técnico y operativo del proceso de mantenimiento del parque automotor a cargo de la Subdirección Logística - SBLG.&quot;"/>
  </r>
  <r>
    <n v="20261097"/>
    <s v="Prestar servicios profesionales para apoyar en las actividades administrativas y tecnicas de los elementos e inventario a cargo Subdirección Logistica  – SBLG."/>
    <s v="09 - contratación directa"/>
    <x v="0"/>
    <s v="25 - contrato de prestacion de servicios profesionales"/>
    <s v="AGOSTO"/>
    <n v="2"/>
    <n v="0"/>
    <n v="11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1097-TH-8173-4--Prestar servicios profesionales para apoyar en las actividades administrativas y tecnicas de los elementos e inventario a cargo Subdirección Logistica  – SBLG."/>
  </r>
  <r>
    <n v="20261098"/>
    <s v="Prestación de servicios profesionales para apoyar la gestión administrativa, financiera y documental requerida en el desarrollo de los temas estratégicos y de planeación de los procesos y procedimientos a cargo de la Subdirección Logística – SBLG."/>
    <s v="09 - contratación directa"/>
    <x v="0"/>
    <s v="25 - contrato de prestacion de servicios profesionales"/>
    <s v="OCTUBRE"/>
    <n v="2"/>
    <n v="15"/>
    <n v="175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1098-TH-8173-4--Prestación de servicios profesionales para apoyar la gestión administrativa, financiera y documental requerida en el desarrollo de los temas estratégicos y de planeación de los procesos y procedimientos a cargo de la Subdirección Logística – SBLG."/>
  </r>
  <r>
    <n v="20261099"/>
    <s v="Prestación de servicios profesionales para apoyar la gestión administrativa, documental y de trámites relacionados con el parque automotor a cargo de la Subdirección Logística – SBLG, requeridos para su adecuado funcionamiento, operación y gestión."/>
    <s v="09 - contratación directa"/>
    <x v="0"/>
    <s v="25 - contrato de prestacion de servicios profesionales"/>
    <s v="OCTUBRE"/>
    <n v="2"/>
    <n v="15"/>
    <n v="15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1099-TH-8173-4--Prestación de servicios profesionales para apoyar la gestión administrativa, documental y de trámites relacionados con el parque automotor a cargo de la Subdirección Logística – SBLG, requeridos para su adecuado funcionamiento, operación y gestión."/>
  </r>
  <r>
    <n v="20261100"/>
    <s v="Prestación de servicios profesionales para realizar la revisión, análisis y trámite jurídico de las diferentes actuaciones contractuales y procesales que se adelanten en las distintas etapas de los procesos de contratación de bienes y servicios, en el marco del desarrollo de las estrategias y necesidades de la Subdirección Logística – SBLG."/>
    <s v="09 - contratación directa"/>
    <x v="0"/>
    <s v="25 - contrato de prestacion de servicios profesionales"/>
    <s v="OCTUBRE"/>
    <n v="3"/>
    <n v="0"/>
    <n v="24000000"/>
    <s v="NO"/>
    <s v="Sub. Logística"/>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1100-TH-8173-4--Prestación de servicios profesionales para realizar la revisión, análisis y trámite jurídico de las diferentes actuaciones contractuales y procesales que se adelanten en las distintas etapas de los procesos de contratación de bienes y servicios, en el marco del desarrollo de las estrategias y necesidades de la Subdirección Logística – SBLG."/>
  </r>
  <r>
    <n v="20261101"/>
    <s v="Prestar  servicios profesionales  liderando las actividades de proyeccion e innovacion para la Subdirección de Gestión del Riesgo._SGR"/>
    <s v="09 - contratación directa"/>
    <x v="0"/>
    <s v="25 - contrato de prestacion de servicios profesionales"/>
    <s v="OCTUBRE"/>
    <n v="3"/>
    <n v="0"/>
    <n v="27300000"/>
    <s v="NO"/>
    <s v="Sub. Gestión Riesgos"/>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1101-TH-8173-5--Prestar  servicios profesionales  liderando las actividades de proyeccion e innovacion para la Subdirección de Gestión del Riesgo._SGR"/>
  </r>
  <r>
    <n v="20261102"/>
    <s v="Prestación de servicios de apoyo a la gestión en la ejecución de los planes y programas de servicio al ciudadano a cargo de la Subdirección de Gestión Corporativa.-SGC"/>
    <s v="09 - contratación directa"/>
    <x v="0"/>
    <s v="26 - contrato de prestacion de servicios de apoyo a la gestion"/>
    <s v="NOVIEMBRE"/>
    <n v="3"/>
    <n v="0"/>
    <n v="985298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102-TH-8126-9--Prestación de servicios de apoyo a la gestión en la ejecución de los planes y programas de servicio al ciudadano a cargo de la Subdirección de Gestión Corporativa.-SGC"/>
  </r>
  <r>
    <n v="20261103"/>
    <s v="Adición y prórroga No. 1 al contrato 423 de 2026 con objeto&quot; Prestación de servicios profesionales especializados para desarrollar las actividades técnicas y administrativas del Área de Infraestructura de la Subdirección de Gestión Corporativa-SGC. "/>
    <s v="09 - contratación directa"/>
    <x v="0"/>
    <s v="25 - contrato de prestacion de servicios profesionales"/>
    <s v="NOVIEMBRE"/>
    <n v="1"/>
    <n v="4"/>
    <n v="9066667"/>
    <s v="NO"/>
    <s v="Sub. Gestión Corporativa"/>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1103-TH-8126-8--Adición y prórroga No. 1 al contrato 423 de 2026 con objeto&quot; Prestación de servicios profesionales especializados para desarrollar las actividades técnicas y administrativas del Área de Infraestructura de la Subdirección de Gestión Corporativa-SGC. "/>
  </r>
  <r>
    <n v="20261104"/>
    <s v="Prestar servicios profesionales para apoyar el desarrollo, la construcción, revisión y gestión de los documentos previos requerido en los procesos de selección adelantados por la UAECOB, garantizando la adecuada estructuración financiera, de mercado y económica, necesarios para la contratación para la adquisición de bienes, obras y servicios esenciales para el cumplimiento de sus funciones y misionalidad-SGC"/>
    <s v="09 - contratación directa"/>
    <x v="0"/>
    <s v="25 - contrato de prestacion de servicios profesionales"/>
    <s v="NOVIEMBRE"/>
    <n v="3"/>
    <n v="0"/>
    <n v="22500000"/>
    <s v="NO"/>
    <s v="Sub. Gestión Corporativa"/>
    <s v="Fatima Veronica Quintero Nuñez"/>
    <x v="2"/>
    <s v="Subdirector@ de Gestión del Riesgo"/>
    <x v="0"/>
    <s v="80111600;"/>
    <s v="8173 11-Gestionar el 100% de las necesidades de bienes y servicios a la infraestructura en funcionamiento"/>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1104-TH-8173-11-Prestar servicios profesionales para apoyar el desarrollo, la construcción, revisión y gestión de los documentos previos requerido en los procesos de selección adelantados por la UAECOB, garantizando la adecuada estructuración financiera, de mercado y económica, necesarios para la contratación para la adquisición de bienes, obras y servicios esenciales para el cumplimiento de sus funciones y misionalidad-SGC"/>
  </r>
  <r>
    <n v="20261105"/>
    <s v="Prestación de servicios de apoyo a la gestión en la ejecución de los planes y programas de servicio al ciudadano a cargo de la Subdirección de Gestión Corporativa.-SGC"/>
    <s v="09 - contratación directa"/>
    <x v="0"/>
    <s v="26 - contrato de prestacion de servicios de apoyo a la gestion"/>
    <s v="OCTUBRE"/>
    <n v="3"/>
    <n v="0"/>
    <n v="9852984"/>
    <s v="NO"/>
    <s v="Sub. Gestión Corporativa"/>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1105-TH-8126-9--Prestación de servicios de apoyo a la gestión en la ejecución de los planes y programas de servicio al ciudadano a cargo de la Subdirección de Gestión Corporativa.-SGC"/>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0BE877D-1A35-46B4-B06F-582180586D3F}" name="TablaDinámica1" cacheId="26"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4:B7" firstHeaderRow="1" firstDataRow="1" firstDataCol="1" rowPageCount="1" colPageCount="1"/>
  <pivotFields count="34">
    <pivotField showAll="0"/>
    <pivotField showAll="0"/>
    <pivotField showAll="0"/>
    <pivotField axis="axisRow" showAll="0">
      <items count="3">
        <item x="1"/>
        <item x="0"/>
        <item t="default"/>
      </items>
    </pivotField>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x="1"/>
        <item x="0"/>
        <item x="2"/>
        <item x="3"/>
        <item t="default"/>
      </items>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3"/>
  </rowFields>
  <rowItems count="3">
    <i>
      <x/>
    </i>
    <i>
      <x v="1"/>
    </i>
    <i t="grand">
      <x/>
    </i>
  </rowItems>
  <colItems count="1">
    <i/>
  </colItems>
  <pageFields count="1">
    <pageField fld="12" hier="-1"/>
  </pageFields>
  <dataFields count="1">
    <dataField name="Suma de Valor apropiacion vigencia actual" fld="8" baseField="0" baseItem="0"/>
  </dataFields>
  <formats count="2">
    <format dxfId="14">
      <pivotArea outline="0" collapsedLevelsAreSubtotals="1" fieldPosition="0"/>
    </format>
    <format dxfId="1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E557190-B34E-40D0-A622-353866580329}" name="TablaDinámica2" cacheId="34"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3:B19" firstHeaderRow="1" firstDataRow="1" firstDataCol="1" rowPageCount="2"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4">
        <item x="1"/>
        <item x="0"/>
        <item m="1" x="2"/>
        <item t="default"/>
      </items>
    </pivotField>
    <pivotField showAll="0"/>
    <pivotField showAll="0"/>
    <pivotField showAll="0"/>
    <pivotField showAll="0"/>
    <pivotField dataField="1" showAll="0"/>
    <pivotField showAll="0"/>
    <pivotField outline="0" multipleItemSelectionAllowed="1" showAll="0" defaultSubtotal="0">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5">
        <item h="1" x="1"/>
        <item x="0"/>
        <item x="2"/>
        <item h="1" x="3"/>
        <item h="1" m="1" x="4"/>
      </items>
    </pivotField>
    <pivotField showAll="0"/>
    <pivotField axis="axisRow" outline="0" showAll="0" defaultSubtotal="0">
      <items count="7">
        <item x="1"/>
        <item x="3"/>
        <item x="0"/>
        <item x="5"/>
        <item x="2"/>
        <item x="4"/>
        <item m="1" x="6"/>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multipleItemSelectionAllowed="1"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4"/>
  </rowFields>
  <rowItems count="6">
    <i>
      <x/>
    </i>
    <i>
      <x v="1"/>
    </i>
    <i>
      <x v="2"/>
    </i>
    <i>
      <x v="3"/>
    </i>
    <i>
      <x v="4"/>
    </i>
    <i t="grand">
      <x/>
    </i>
  </rowItems>
  <colItems count="1">
    <i/>
  </colItems>
  <pageFields count="2">
    <pageField fld="3" hier="-1"/>
    <pageField fld="12" hier="-1"/>
  </pageFields>
  <dataFields count="1">
    <dataField name="Suma de Valor apropiacion vigencia actual" fld="8" baseField="0" baseItem="0"/>
  </dataFields>
  <formats count="2">
    <format dxfId="16">
      <pivotArea outline="0" collapsedLevelsAreSubtotals="1" fieldPosition="0"/>
    </format>
    <format dxfId="1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CD2616D-9490-4717-9C22-CFA7A39B7846}" name="TablaDinámica3" cacheId="26"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47:D150" firstHeaderRow="1" firstDataRow="1" firstDataCol="4" rowPageCount="2" colPageCount="1"/>
  <pivotFields count="34">
    <pivotField outline="0" showAll="0" defaultSubtotal="0">
      <items count="9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s>
      <extLst>
        <ext xmlns:x14="http://schemas.microsoft.com/office/spreadsheetml/2009/9/main" uri="{2946ED86-A175-432a-8AC1-64E0C546D7DE}">
          <x14:pivotField fillDownLabels="1"/>
        </ext>
      </extLst>
    </pivotField>
    <pivotField outline="0" showAll="0" defaultSubtotal="0">
      <items count="773">
        <item x="270"/>
        <item x="593"/>
        <item x="624"/>
        <item x="651"/>
        <item x="650"/>
        <item x="448"/>
        <item x="253"/>
        <item x="594"/>
        <item x="591"/>
        <item x="619"/>
        <item x="772"/>
        <item x="440"/>
        <item x="618"/>
        <item x="204"/>
        <item x="689"/>
        <item x="445"/>
        <item x="552"/>
        <item x="426"/>
        <item x="492"/>
        <item x="376"/>
        <item x="457"/>
        <item x="476"/>
        <item x="483"/>
        <item x="553"/>
        <item x="369"/>
        <item x="463"/>
        <item x="596"/>
        <item x="614"/>
        <item x="479"/>
        <item x="653"/>
        <item x="623"/>
        <item x="605"/>
        <item x="715"/>
        <item x="716"/>
        <item x="600"/>
        <item x="601"/>
        <item x="621"/>
        <item x="622"/>
        <item x="432"/>
        <item x="717"/>
        <item x="603"/>
        <item x="598"/>
        <item x="602"/>
        <item x="615"/>
        <item x="435"/>
        <item x="654"/>
        <item x="434"/>
        <item x="690"/>
        <item x="437"/>
        <item x="436"/>
        <item x="599"/>
        <item x="606"/>
        <item x="568"/>
        <item x="438"/>
        <item x="635"/>
        <item x="636"/>
        <item x="691"/>
        <item x="729"/>
        <item x="433"/>
        <item x="613"/>
        <item x="201"/>
        <item x="480"/>
        <item x="548"/>
        <item x="495"/>
        <item x="472"/>
        <item x="469"/>
        <item x="470"/>
        <item x="471"/>
        <item x="524"/>
        <item x="534"/>
        <item x="520"/>
        <item x="521"/>
        <item x="523"/>
        <item x="519"/>
        <item x="525"/>
        <item x="758"/>
        <item x="512"/>
        <item x="527"/>
        <item x="522"/>
        <item x="528"/>
        <item x="541"/>
        <item x="536"/>
        <item x="510"/>
        <item x="530"/>
        <item x="213"/>
        <item x="531"/>
        <item x="535"/>
        <item x="529"/>
        <item x="542"/>
        <item x="543"/>
        <item x="544"/>
        <item x="239"/>
        <item x="513"/>
        <item x="514"/>
        <item x="532"/>
        <item x="511"/>
        <item x="526"/>
        <item x="545"/>
        <item x="515"/>
        <item x="759"/>
        <item x="537"/>
        <item x="533"/>
        <item x="538"/>
        <item x="516"/>
        <item x="539"/>
        <item x="518"/>
        <item x="241"/>
        <item x="517"/>
        <item x="242"/>
        <item x="540"/>
        <item x="223"/>
        <item x="235"/>
        <item x="236"/>
        <item x="238"/>
        <item x="452"/>
        <item x="224"/>
        <item x="225"/>
        <item x="757"/>
        <item x="226"/>
        <item x="212"/>
        <item x="756"/>
        <item x="509"/>
        <item x="507"/>
        <item x="721"/>
        <item x="726"/>
        <item x="727"/>
        <item x="722"/>
        <item x="564"/>
        <item x="724"/>
        <item x="723"/>
        <item x="22"/>
        <item x="565"/>
        <item x="30"/>
        <item x="566"/>
        <item x="473"/>
        <item x="455"/>
        <item x="454"/>
        <item x="31"/>
        <item x="36"/>
        <item x="559"/>
        <item x="561"/>
        <item x="203"/>
        <item x="549"/>
        <item x="632"/>
        <item x="649"/>
        <item x="630"/>
        <item x="629"/>
        <item x="631"/>
        <item x="569"/>
        <item x="573"/>
        <item x="583"/>
        <item x="612"/>
        <item x="571"/>
        <item x="576"/>
        <item x="575"/>
        <item x="582"/>
        <item x="742"/>
        <item x="570"/>
        <item x="592"/>
        <item x="585"/>
        <item x="586"/>
        <item x="595"/>
        <item x="574"/>
        <item x="738"/>
        <item x="609"/>
        <item x="579"/>
        <item x="628"/>
        <item x="577"/>
        <item x="589"/>
        <item x="581"/>
        <item x="648"/>
        <item x="584"/>
        <item x="627"/>
        <item x="611"/>
        <item x="739"/>
        <item x="647"/>
        <item x="740"/>
        <item x="580"/>
        <item x="578"/>
        <item x="572"/>
        <item x="610"/>
        <item x="608"/>
        <item x="590"/>
        <item x="588"/>
        <item x="587"/>
        <item x="735"/>
        <item x="732"/>
        <item x="734"/>
        <item x="733"/>
        <item x="747"/>
        <item x="745"/>
        <item x="746"/>
        <item x="750"/>
        <item x="751"/>
        <item x="749"/>
        <item x="753"/>
        <item x="498"/>
        <item x="754"/>
        <item x="755"/>
        <item x="748"/>
        <item x="497"/>
        <item x="547"/>
        <item x="752"/>
        <item x="27"/>
        <item x="546"/>
        <item x="37"/>
        <item x="429"/>
        <item x="725"/>
        <item x="551"/>
        <item x="465"/>
        <item x="374"/>
        <item x="767"/>
        <item x="768"/>
        <item x="769"/>
        <item x="427"/>
        <item x="378"/>
        <item x="423"/>
        <item x="493"/>
        <item x="428"/>
        <item x="770"/>
        <item x="381"/>
        <item x="481"/>
        <item x="478"/>
        <item x="626"/>
        <item x="444"/>
        <item x="555"/>
        <item x="286"/>
        <item x="494"/>
        <item x="285"/>
        <item x="257"/>
        <item x="373"/>
        <item x="477"/>
        <item x="1"/>
        <item x="458"/>
        <item x="459"/>
        <item x="484"/>
        <item x="288"/>
        <item x="28"/>
        <item x="503"/>
        <item x="500"/>
        <item x="32"/>
        <item x="206"/>
        <item x="366"/>
        <item x="556"/>
        <item x="195"/>
        <item x="482"/>
        <item x="29"/>
        <item x="38"/>
        <item x="728"/>
        <item x="499"/>
        <item x="474"/>
        <item x="35"/>
        <item x="353"/>
        <item x="26"/>
        <item x="502"/>
        <item x="284"/>
        <item x="34"/>
        <item x="363"/>
        <item x="289"/>
        <item x="485"/>
        <item x="487"/>
        <item x="379"/>
        <item x="375"/>
        <item x="377"/>
        <item x="194"/>
        <item x="360"/>
        <item x="361"/>
        <item x="364"/>
        <item x="359"/>
        <item x="358"/>
        <item x="356"/>
        <item x="355"/>
        <item x="33"/>
        <item x="475"/>
        <item x="244"/>
        <item x="410"/>
        <item x="335"/>
        <item x="299"/>
        <item x="323"/>
        <item x="301"/>
        <item x="306"/>
        <item x="305"/>
        <item x="439"/>
        <item x="294"/>
        <item x="720"/>
        <item x="256"/>
        <item x="246"/>
        <item x="719"/>
        <item x="416"/>
        <item x="321"/>
        <item x="69"/>
        <item x="207"/>
        <item x="297"/>
        <item x="347"/>
        <item x="333"/>
        <item x="343"/>
        <item x="211"/>
        <item x="232"/>
        <item x="451"/>
        <item x="68"/>
        <item x="764"/>
        <item x="344"/>
        <item x="198"/>
        <item x="209"/>
        <item x="208"/>
        <item x="505"/>
        <item x="322"/>
        <item x="157"/>
        <item x="327"/>
        <item x="243"/>
        <item x="161"/>
        <item x="617"/>
        <item x="399"/>
        <item x="406"/>
        <item x="412"/>
        <item x="409"/>
        <item x="349"/>
        <item x="336"/>
        <item x="616"/>
        <item x="714"/>
        <item x="168"/>
        <item x="326"/>
        <item x="296"/>
        <item x="329"/>
        <item x="300"/>
        <item x="316"/>
        <item x="325"/>
        <item x="332"/>
        <item x="328"/>
        <item x="313"/>
        <item x="351"/>
        <item x="350"/>
        <item x="382"/>
        <item x="251"/>
        <item x="250"/>
        <item x="91"/>
        <item x="762"/>
        <item x="247"/>
        <item x="248"/>
        <item x="312"/>
        <item x="403"/>
        <item x="298"/>
        <item x="290"/>
        <item x="217"/>
        <item x="216"/>
        <item x="420"/>
        <item x="258"/>
        <item x="159"/>
        <item x="158"/>
        <item x="634"/>
        <item x="227"/>
        <item x="766"/>
        <item x="164"/>
        <item x="760"/>
        <item x="291"/>
        <item x="424"/>
        <item x="318"/>
        <item x="220"/>
        <item x="295"/>
        <item x="210"/>
        <item x="245"/>
        <item x="334"/>
        <item x="315"/>
        <item x="218"/>
        <item x="761"/>
        <item x="234"/>
        <item x="233"/>
        <item x="219"/>
        <item x="214"/>
        <item x="324"/>
        <item x="240"/>
        <item x="763"/>
        <item x="395"/>
        <item x="304"/>
        <item x="237"/>
        <item x="231"/>
        <item x="314"/>
        <item x="169"/>
        <item x="186"/>
        <item x="167"/>
        <item x="307"/>
        <item x="255"/>
        <item x="230"/>
        <item x="633"/>
        <item x="252"/>
        <item x="188"/>
        <item x="190"/>
        <item x="229"/>
        <item x="254"/>
        <item x="215"/>
        <item x="425"/>
        <item x="160"/>
        <item x="496"/>
        <item x="269"/>
        <item x="283"/>
        <item x="282"/>
        <item x="267"/>
        <item x="370"/>
        <item x="200"/>
        <item x="199"/>
        <item x="205"/>
        <item x="155"/>
        <item x="367"/>
        <item x="287"/>
        <item x="354"/>
        <item x="309"/>
        <item x="320"/>
        <item x="506"/>
        <item x="19"/>
        <item x="7"/>
        <item x="12"/>
        <item x="504"/>
        <item x="508"/>
        <item x="86"/>
        <item x="87"/>
        <item x="368"/>
        <item x="441"/>
        <item x="443"/>
        <item x="71"/>
        <item x="72"/>
        <item x="9"/>
        <item x="337"/>
        <item x="18"/>
        <item x="346"/>
        <item x="11"/>
        <item x="20"/>
        <item x="73"/>
        <item x="292"/>
        <item x="330"/>
        <item x="85"/>
        <item x="64"/>
        <item x="79"/>
        <item x="82"/>
        <item x="75"/>
        <item x="637"/>
        <item x="339"/>
        <item x="93"/>
        <item x="90"/>
        <item x="88"/>
        <item x="341"/>
        <item x="78"/>
        <item x="640"/>
        <item x="77"/>
        <item x="652"/>
        <item x="625"/>
        <item x="638"/>
        <item x="293"/>
        <item x="345"/>
        <item x="348"/>
        <item x="10"/>
        <item x="308"/>
        <item x="163"/>
        <item x="84"/>
        <item x="3"/>
        <item x="340"/>
        <item x="456"/>
        <item x="187"/>
        <item x="173"/>
        <item x="281"/>
        <item x="408"/>
        <item x="275"/>
        <item x="390"/>
        <item x="177"/>
        <item x="47"/>
        <item x="41"/>
        <item x="39"/>
        <item x="74"/>
        <item x="189"/>
        <item x="175"/>
        <item x="415"/>
        <item x="13"/>
        <item x="442"/>
        <item x="417"/>
        <item x="171"/>
        <item x="708"/>
        <item x="59"/>
        <item x="674"/>
        <item x="388"/>
        <item x="414"/>
        <item x="181"/>
        <item x="560"/>
        <item x="562"/>
        <item x="563"/>
        <item x="183"/>
        <item x="765"/>
        <item x="331"/>
        <item x="259"/>
        <item x="274"/>
        <item x="262"/>
        <item x="398"/>
        <item x="165"/>
        <item x="172"/>
        <item x="413"/>
        <item x="646"/>
        <item x="266"/>
        <item x="276"/>
        <item x="228"/>
        <item x="383"/>
        <item x="62"/>
        <item x="51"/>
        <item x="604"/>
        <item x="57"/>
        <item x="52"/>
        <item x="46"/>
        <item x="43"/>
        <item x="40"/>
        <item x="50"/>
        <item x="49"/>
        <item x="710"/>
        <item x="597"/>
        <item x="45"/>
        <item x="182"/>
        <item x="192"/>
        <item x="4"/>
        <item x="342"/>
        <item x="319"/>
        <item x="16"/>
        <item x="393"/>
        <item x="221"/>
        <item x="5"/>
        <item x="222"/>
        <item x="92"/>
        <item x="643"/>
        <item x="176"/>
        <item x="178"/>
        <item x="261"/>
        <item x="730"/>
        <item x="407"/>
        <item x="48"/>
        <item x="389"/>
        <item x="401"/>
        <item x="402"/>
        <item x="386"/>
        <item x="404"/>
        <item x="263"/>
        <item x="310"/>
        <item x="302"/>
        <item x="170"/>
        <item x="279"/>
        <item x="271"/>
        <item x="273"/>
        <item x="174"/>
        <item x="277"/>
        <item x="641"/>
        <item x="0"/>
        <item x="405"/>
        <item x="352"/>
        <item x="384"/>
        <item x="397"/>
        <item x="394"/>
        <item x="317"/>
        <item x="76"/>
        <item x="642"/>
        <item x="422"/>
        <item x="567"/>
        <item x="391"/>
        <item x="385"/>
        <item x="387"/>
        <item x="392"/>
        <item x="731"/>
        <item x="65"/>
        <item x="63"/>
        <item x="712"/>
        <item x="644"/>
        <item x="66"/>
        <item x="249"/>
        <item x="639"/>
        <item x="83"/>
        <item x="278"/>
        <item x="280"/>
        <item x="272"/>
        <item x="2"/>
        <item x="17"/>
        <item x="6"/>
        <item x="60"/>
        <item x="54"/>
        <item x="70"/>
        <item x="607"/>
        <item x="61"/>
        <item x="400"/>
        <item x="162"/>
        <item x="8"/>
        <item x="771"/>
        <item x="81"/>
        <item x="80"/>
        <item x="179"/>
        <item x="453"/>
        <item x="645"/>
        <item x="557"/>
        <item x="14"/>
        <item x="260"/>
        <item x="21"/>
        <item x="558"/>
        <item x="709"/>
        <item x="58"/>
        <item x="303"/>
        <item x="44"/>
        <item x="421"/>
        <item x="67"/>
        <item x="55"/>
        <item x="431"/>
        <item x="185"/>
        <item x="184"/>
        <item x="191"/>
        <item x="23"/>
        <item x="180"/>
        <item x="264"/>
        <item x="265"/>
        <item x="42"/>
        <item x="396"/>
        <item x="338"/>
        <item x="718"/>
        <item x="311"/>
        <item x="53"/>
        <item x="56"/>
        <item x="166"/>
        <item x="89"/>
        <item x="24"/>
        <item x="25"/>
        <item x="15"/>
        <item x="268"/>
        <item x="196"/>
        <item x="362"/>
        <item x="365"/>
        <item x="486"/>
        <item x="713"/>
        <item x="490"/>
        <item x="554"/>
        <item x="489"/>
        <item x="488"/>
        <item x="491"/>
        <item x="711"/>
        <item x="380"/>
        <item x="117"/>
        <item x="115"/>
        <item x="468"/>
        <item x="700"/>
        <item x="658"/>
        <item x="659"/>
        <item x="467"/>
        <item x="743"/>
        <item x="702"/>
        <item x="688"/>
        <item x="686"/>
        <item x="744"/>
        <item x="701"/>
        <item x="675"/>
        <item x="676"/>
        <item x="699"/>
        <item x="154"/>
        <item x="149"/>
        <item x="153"/>
        <item x="620"/>
        <item x="147"/>
        <item x="148"/>
        <item x="446"/>
        <item x="122"/>
        <item x="150"/>
        <item x="550"/>
        <item x="142"/>
        <item x="138"/>
        <item x="450"/>
        <item x="106"/>
        <item x="112"/>
        <item x="101"/>
        <item x="461"/>
        <item x="668"/>
        <item x="703"/>
        <item x="694"/>
        <item x="695"/>
        <item x="663"/>
        <item x="419"/>
        <item x="97"/>
        <item x="678"/>
        <item x="95"/>
        <item x="96"/>
        <item x="741"/>
        <item x="136"/>
        <item x="418"/>
        <item x="692"/>
        <item x="447"/>
        <item x="693"/>
        <item x="114"/>
        <item x="683"/>
        <item x="682"/>
        <item x="687"/>
        <item x="698"/>
        <item x="666"/>
        <item x="696"/>
        <item x="140"/>
        <item x="135"/>
        <item x="127"/>
        <item x="108"/>
        <item x="119"/>
        <item x="736"/>
        <item x="100"/>
        <item x="118"/>
        <item x="116"/>
        <item x="130"/>
        <item x="102"/>
        <item x="104"/>
        <item x="105"/>
        <item x="664"/>
        <item x="111"/>
        <item x="121"/>
        <item x="128"/>
        <item x="120"/>
        <item x="126"/>
        <item x="99"/>
        <item x="107"/>
        <item x="113"/>
        <item x="110"/>
        <item x="671"/>
        <item x="704"/>
        <item x="706"/>
        <item x="705"/>
        <item x="697"/>
        <item x="672"/>
        <item x="665"/>
        <item x="462"/>
        <item x="460"/>
        <item x="681"/>
        <item x="129"/>
        <item x="131"/>
        <item x="685"/>
        <item x="707"/>
        <item x="449"/>
        <item x="103"/>
        <item x="124"/>
        <item x="670"/>
        <item x="737"/>
        <item x="680"/>
        <item x="133"/>
        <item x="141"/>
        <item x="94"/>
        <item x="139"/>
        <item x="673"/>
        <item x="667"/>
        <item x="660"/>
        <item x="656"/>
        <item x="669"/>
        <item x="132"/>
        <item x="98"/>
        <item x="411"/>
        <item x="146"/>
        <item x="143"/>
        <item x="145"/>
        <item x="137"/>
        <item x="466"/>
        <item x="151"/>
        <item x="152"/>
        <item x="677"/>
        <item x="684"/>
        <item x="679"/>
        <item x="144"/>
        <item x="134"/>
        <item x="662"/>
        <item x="125"/>
        <item x="655"/>
        <item x="109"/>
        <item x="661"/>
        <item x="657"/>
        <item x="123"/>
        <item x="193"/>
        <item x="202"/>
        <item x="371"/>
        <item x="357"/>
        <item x="197"/>
        <item x="430"/>
        <item x="501"/>
        <item x="372"/>
        <item x="464"/>
        <item x="156"/>
      </items>
      <extLst>
        <ext xmlns:x14="http://schemas.microsoft.com/office/spreadsheetml/2009/9/main" uri="{2946ED86-A175-432a-8AC1-64E0C546D7DE}">
          <x14:pivotField fillDownLabels="1"/>
        </ext>
      </extLst>
    </pivotField>
    <pivotField showAll="0"/>
    <pivotField axis="axisPage" multipleItemSelectionAllowed="1" showAll="0">
      <items count="3">
        <item x="1"/>
        <item x="0"/>
        <item t="default"/>
      </items>
    </pivotField>
    <pivotField showAll="0"/>
    <pivotField showAll="0"/>
    <pivotField showAll="0"/>
    <pivotField showAll="0"/>
    <pivotField showAll="0"/>
    <pivotField showAll="0"/>
    <pivotField axis="axisRow" outline="0" multipleItemSelectionAllowed="1" showAll="0" defaultSubtotal="0">
      <items count="21">
        <item x="10"/>
        <item x="11"/>
        <item x="15"/>
        <item x="16"/>
        <item x="0"/>
        <item x="12"/>
        <item x="1"/>
        <item x="14"/>
        <item x="2"/>
        <item x="17"/>
        <item x="3"/>
        <item x="18"/>
        <item x="4"/>
        <item x="19"/>
        <item x="9"/>
        <item x="13"/>
        <item x="5"/>
        <item x="20"/>
        <item x="8"/>
        <item x="6"/>
        <item x="7"/>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x="1"/>
        <item x="0"/>
        <item x="2"/>
        <item x="3"/>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items count="23">
        <item x="21"/>
        <item x="5"/>
        <item x="6"/>
        <item x="7"/>
        <item x="1"/>
        <item x="0"/>
        <item x="3"/>
        <item x="2"/>
        <item x="16"/>
        <item x="8"/>
        <item x="19"/>
        <item x="20"/>
        <item x="13"/>
        <item x="11"/>
        <item x="12"/>
        <item x="10"/>
        <item x="15"/>
        <item x="14"/>
        <item x="17"/>
        <item x="18"/>
        <item x="9"/>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Row" outline="0" multipleItemSelectionAllowed="1" showAll="0" defaultSubtotal="0">
      <items count="18">
        <item x="17"/>
        <item x="1"/>
        <item x="8"/>
        <item x="10"/>
        <item x="11"/>
        <item x="5"/>
        <item x="15"/>
        <item x="6"/>
        <item x="9"/>
        <item x="7"/>
        <item x="13"/>
        <item x="14"/>
        <item x="12"/>
        <item x="4"/>
        <item x="0"/>
        <item x="16"/>
        <item x="3"/>
        <item x="2"/>
      </items>
      <extLst>
        <ext xmlns:x14="http://schemas.microsoft.com/office/spreadsheetml/2009/9/main" uri="{2946ED86-A175-432a-8AC1-64E0C546D7DE}">
          <x14:pivotField fillDownLabels="1"/>
        </ext>
      </extLst>
    </pivotField>
    <pivotField showAll="0">
      <items count="19">
        <item x="17"/>
        <item x="1"/>
        <item x="8"/>
        <item x="10"/>
        <item x="11"/>
        <item x="5"/>
        <item x="15"/>
        <item x="4"/>
        <item x="6"/>
        <item x="9"/>
        <item x="0"/>
        <item x="7"/>
        <item x="16"/>
        <item x="3"/>
        <item x="2"/>
        <item x="13"/>
        <item x="14"/>
        <item x="12"/>
        <item t="default"/>
      </items>
    </pivotField>
    <pivotField axis="axisRow" outline="0" showAll="0" defaultSubtotal="0">
      <items count="38">
        <item x="6"/>
        <item x="19"/>
        <item x="3"/>
        <item x="4"/>
        <item x="5"/>
        <item x="8"/>
        <item x="14"/>
        <item x="28"/>
        <item x="27"/>
        <item x="31"/>
        <item x="16"/>
        <item x="10"/>
        <item x="36"/>
        <item x="13"/>
        <item x="12"/>
        <item x="34"/>
        <item x="22"/>
        <item x="24"/>
        <item x="29"/>
        <item x="35"/>
        <item x="37"/>
        <item x="17"/>
        <item x="20"/>
        <item x="1"/>
        <item x="32"/>
        <item x="2"/>
        <item x="15"/>
        <item x="23"/>
        <item x="25"/>
        <item x="30"/>
        <item x="11"/>
        <item x="26"/>
        <item x="18"/>
        <item x="21"/>
        <item x="33"/>
        <item x="0"/>
        <item x="9"/>
        <item x="7"/>
      </items>
      <extLst>
        <ext xmlns:x14="http://schemas.microsoft.com/office/spreadsheetml/2009/9/main" uri="{2946ED86-A175-432a-8AC1-64E0C546D7DE}">
          <x14:pivotField fillDownLabels="1"/>
        </ext>
      </extLst>
    </pivotField>
    <pivotField showAll="0"/>
    <pivotField showAll="0"/>
  </pivotFields>
  <rowFields count="4">
    <field x="29"/>
    <field x="10"/>
    <field x="14"/>
    <field x="31"/>
  </rowFields>
  <rowItems count="103">
    <i>
      <x/>
      <x v="16"/>
      <x v="5"/>
      <x/>
    </i>
    <i>
      <x v="1"/>
      <x v="4"/>
      <x/>
      <x/>
    </i>
    <i r="3">
      <x v="2"/>
    </i>
    <i r="3">
      <x v="3"/>
    </i>
    <i r="3">
      <x v="4"/>
    </i>
    <i r="1">
      <x v="12"/>
      <x/>
      <x/>
    </i>
    <i r="1">
      <x v="14"/>
      <x/>
      <x/>
    </i>
    <i r="1">
      <x v="16"/>
      <x/>
      <x/>
    </i>
    <i r="1">
      <x v="19"/>
      <x/>
      <x/>
    </i>
    <i r="1">
      <x v="20"/>
      <x/>
      <x v="1"/>
    </i>
    <i>
      <x v="2"/>
      <x v="20"/>
      <x v="2"/>
      <x v="20"/>
    </i>
    <i r="3">
      <x v="35"/>
    </i>
    <i r="2">
      <x v="4"/>
      <x v="6"/>
    </i>
    <i>
      <x v="3"/>
      <x v="18"/>
      <x v="2"/>
      <x v="6"/>
    </i>
    <i r="3">
      <x v="16"/>
    </i>
    <i r="3">
      <x v="22"/>
    </i>
    <i r="3">
      <x v="29"/>
    </i>
    <i r="3">
      <x v="33"/>
    </i>
    <i r="3">
      <x v="34"/>
    </i>
    <i r="3">
      <x v="35"/>
    </i>
    <i>
      <x v="4"/>
      <x v="18"/>
      <x v="2"/>
      <x v="35"/>
    </i>
    <i>
      <x v="5"/>
      <x v="16"/>
      <x v="2"/>
      <x v="5"/>
    </i>
    <i r="3">
      <x v="11"/>
    </i>
    <i r="3">
      <x v="35"/>
    </i>
    <i r="3">
      <x v="36"/>
    </i>
    <i r="3">
      <x v="37"/>
    </i>
    <i>
      <x v="6"/>
      <x v="14"/>
      <x v="2"/>
      <x v="17"/>
    </i>
    <i r="3">
      <x v="35"/>
    </i>
    <i r="2">
      <x v="3"/>
      <x v="17"/>
    </i>
    <i r="3">
      <x v="32"/>
    </i>
    <i r="1">
      <x v="15"/>
      <x v="2"/>
      <x v="35"/>
    </i>
    <i>
      <x v="7"/>
      <x v="19"/>
      <x/>
      <x v="6"/>
    </i>
    <i r="2">
      <x v="2"/>
      <x v="6"/>
    </i>
    <i r="3">
      <x v="14"/>
    </i>
    <i r="3">
      <x v="30"/>
    </i>
    <i r="3">
      <x v="32"/>
    </i>
    <i r="3">
      <x v="35"/>
    </i>
    <i>
      <x v="8"/>
      <x v="20"/>
      <x v="2"/>
      <x v="6"/>
    </i>
    <i r="3">
      <x v="10"/>
    </i>
    <i r="3">
      <x v="19"/>
    </i>
    <i>
      <x v="9"/>
      <x v="19"/>
      <x/>
      <x v="13"/>
    </i>
    <i r="3">
      <x v="21"/>
    </i>
    <i r="2">
      <x v="2"/>
      <x v="6"/>
    </i>
    <i r="3">
      <x v="10"/>
    </i>
    <i r="3">
      <x v="13"/>
    </i>
    <i r="3">
      <x v="21"/>
    </i>
    <i r="3">
      <x v="26"/>
    </i>
    <i r="3">
      <x v="35"/>
    </i>
    <i>
      <x v="10"/>
      <x v="14"/>
      <x v="1"/>
      <x v="17"/>
    </i>
    <i r="2">
      <x v="2"/>
      <x v="5"/>
    </i>
    <i r="3">
      <x v="6"/>
    </i>
    <i r="3">
      <x v="8"/>
    </i>
    <i r="3">
      <x v="9"/>
    </i>
    <i r="3">
      <x v="12"/>
    </i>
    <i r="3">
      <x v="15"/>
    </i>
    <i r="3">
      <x v="17"/>
    </i>
    <i r="3">
      <x v="31"/>
    </i>
    <i r="3">
      <x v="35"/>
    </i>
    <i r="2">
      <x v="3"/>
      <x v="17"/>
    </i>
    <i>
      <x v="11"/>
      <x v="14"/>
      <x v="1"/>
      <x v="17"/>
    </i>
    <i r="2">
      <x v="2"/>
      <x v="35"/>
    </i>
    <i>
      <x v="12"/>
      <x v="18"/>
      <x v="2"/>
      <x v="20"/>
    </i>
    <i r="3">
      <x v="35"/>
    </i>
    <i>
      <x v="13"/>
      <x/>
      <x v="2"/>
      <x v="29"/>
    </i>
    <i r="3">
      <x v="35"/>
    </i>
    <i r="1">
      <x v="3"/>
      <x v="2"/>
      <x v="35"/>
    </i>
    <i r="1">
      <x v="8"/>
      <x v="2"/>
      <x v="35"/>
    </i>
    <i r="1">
      <x v="9"/>
      <x v="2"/>
      <x v="35"/>
    </i>
    <i r="1">
      <x v="10"/>
      <x v="2"/>
      <x v="35"/>
    </i>
    <i r="1">
      <x v="11"/>
      <x v="2"/>
      <x v="35"/>
    </i>
    <i r="1">
      <x v="12"/>
      <x v="2"/>
      <x v="35"/>
    </i>
    <i r="1">
      <x v="13"/>
      <x v="2"/>
      <x v="35"/>
    </i>
    <i r="1">
      <x v="14"/>
      <x v="2"/>
      <x v="6"/>
    </i>
    <i r="3">
      <x v="7"/>
    </i>
    <i r="3">
      <x v="17"/>
    </i>
    <i r="3">
      <x v="18"/>
    </i>
    <i r="3">
      <x v="27"/>
    </i>
    <i r="3">
      <x v="28"/>
    </i>
    <i r="3">
      <x v="31"/>
    </i>
    <i r="3">
      <x v="32"/>
    </i>
    <i r="3">
      <x v="35"/>
    </i>
    <i r="1">
      <x v="15"/>
      <x v="2"/>
      <x v="6"/>
    </i>
    <i r="3">
      <x v="17"/>
    </i>
    <i r="3">
      <x v="28"/>
    </i>
    <i r="3">
      <x v="35"/>
    </i>
    <i r="1">
      <x v="16"/>
      <x v="2"/>
      <x v="35"/>
    </i>
    <i r="1">
      <x v="17"/>
      <x v="2"/>
      <x v="35"/>
    </i>
    <i>
      <x v="14"/>
      <x v="4"/>
      <x v="2"/>
      <x v="23"/>
    </i>
    <i r="3">
      <x v="24"/>
    </i>
    <i r="3">
      <x v="25"/>
    </i>
    <i r="3">
      <x v="35"/>
    </i>
    <i r="2">
      <x v="3"/>
      <x v="35"/>
    </i>
    <i r="1">
      <x v="5"/>
      <x v="2"/>
      <x v="23"/>
    </i>
    <i r="3">
      <x v="25"/>
    </i>
    <i r="3">
      <x v="35"/>
    </i>
    <i>
      <x v="15"/>
      <x v="1"/>
      <x v="2"/>
      <x v="20"/>
    </i>
    <i r="3">
      <x v="35"/>
    </i>
    <i r="1">
      <x v="2"/>
      <x v="2"/>
      <x v="35"/>
    </i>
    <i>
      <x v="16"/>
      <x v="6"/>
      <x v="2"/>
      <x v="35"/>
    </i>
    <i r="1">
      <x v="7"/>
      <x v="2"/>
      <x v="35"/>
    </i>
    <i>
      <x v="17"/>
      <x v="6"/>
      <x v="2"/>
      <x v="35"/>
    </i>
    <i r="1">
      <x v="7"/>
      <x v="2"/>
      <x v="35"/>
    </i>
    <i t="grand">
      <x/>
    </i>
  </rowItems>
  <colItems count="1">
    <i/>
  </colItems>
  <pageFields count="2">
    <pageField fld="3" hier="-1"/>
    <pageField fld="12" hier="-1"/>
  </pageFields>
  <formats count="2">
    <format dxfId="18">
      <pivotArea outline="0" collapsedLevelsAreSubtotals="1" fieldPosition="0"/>
    </format>
    <format dxfId="1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1036" totalsRowShown="0" headerRowDxfId="91" dataDxfId="89" headerRowBorderDxfId="90" tableBorderDxfId="88" totalsRowBorderDxfId="87">
  <autoFilter ref="B11:AI1036" xr:uid="{00000000-000C-0000-FFFF-FFFF00000000}"/>
  <sortState xmlns:xlrd2="http://schemas.microsoft.com/office/spreadsheetml/2017/richdata2" ref="B12:AI1036">
    <sortCondition sortBy="cellColor" ref="B11:B1036" dxfId="1"/>
  </sortState>
  <tableColumns count="34">
    <tableColumn id="1" xr3:uid="{00000000-0010-0000-0000-000001000000}" name="Id Interno" dataDxfId="86" totalsRowDxfId="85" dataCellStyle="Millares"/>
    <tableColumn id="29" xr3:uid="{6E0C2575-6F82-4393-8478-8ABA1BB95D8D}" name="Objeto de la contratación" dataDxfId="84" totalsRowDxfId="83" dataCellStyle="Millares"/>
    <tableColumn id="30" xr3:uid="{2E28827C-CB39-46C1-AE1A-A273E80C18AA}" name="Modalidad de Selección" dataDxfId="82" totalsRowDxfId="81" dataCellStyle="Millares"/>
    <tableColumn id="31" xr3:uid="{FA1C55F6-D46D-422B-8D87-02AF4EF50FB5}" name="tipo de Contrato (TH talento humano - B/S bienes y/o servicios)" dataDxfId="80" totalsRowDxfId="79" dataCellStyle="Millares"/>
    <tableColumn id="32" xr3:uid="{0496A17B-836C-488C-83FC-7B97E621862C}" name="Tipo de Contratación" dataDxfId="78" totalsRowDxfId="77" dataCellStyle="Millares"/>
    <tableColumn id="34" xr3:uid="{5030F4BB-20B2-4AA9-BB7F-6FE8E982496F}" name="Mes estimado de inicio de ejecución" dataDxfId="76" totalsRowDxfId="75"/>
    <tableColumn id="35" xr3:uid="{55022259-E0E1-40DB-9906-2780E56ADBD6}" name="plazo ejec Meses" dataDxfId="74" totalsRowDxfId="73"/>
    <tableColumn id="36" xr3:uid="{640C848D-F55E-4544-9D2E-B70ECD132648}" name="mas plazo ejec Días (si aplica)" dataDxfId="72" totalsRowDxfId="71"/>
    <tableColumn id="5" xr3:uid="{05DF518B-CA49-46BE-8AA0-2C47633D4CCA}" name="Valor apropiacion vigencia actual" dataDxfId="70" totalsRowDxfId="69" dataCellStyle="Millares"/>
    <tableColumn id="37" xr3:uid="{777DB4FA-284B-4B1C-83F5-FEBFB0A46D55}" name="¿vigencia futuras?" dataDxfId="68" totalsRowDxfId="67" dataCellStyle="Millares"/>
    <tableColumn id="3" xr3:uid="{00000000-0010-0000-0000-000003000000}" name="Dependencia Solicitante" dataDxfId="66" totalsRowDxfId="65"/>
    <tableColumn id="4" xr3:uid="{00000000-0010-0000-0000-000004000000}" name="Responsable del Proceso" dataDxfId="64" totalsRowDxfId="63" dataCellStyle="Normal 2"/>
    <tableColumn id="40" xr3:uid="{36691A9F-1FC4-4BDD-BF10-A3870A450F77}" name="Proyecto y nombre Asociado" dataDxfId="62" totalsRowDxfId="61" dataCellStyle="Millares"/>
    <tableColumn id="38" xr3:uid="{BBFE6D21-66F0-43E1-A3BB-14789CB36D19}" name="Gerente del Proyecto Asociado" dataDxfId="60" totalsRowDxfId="59" dataCellStyle="Normal 2"/>
    <tableColumn id="39" xr3:uid="{586F9A4B-5355-4D5E-9ACF-9D0D92CFF1E2}" name="Fuente de Recursos" dataDxfId="58" totalsRowDxfId="57" dataCellStyle="Normal 2"/>
    <tableColumn id="7" xr3:uid="{00000000-0010-0000-0000-000007000000}" name="Código UNSPSC (cada código separado por ;)" dataDxfId="56" totalsRowDxfId="55" dataCellStyle="Moneda"/>
    <tableColumn id="14" xr3:uid="{00000000-0010-0000-0000-00000E000000}" name="Meta Proyecto de Inversión" dataDxfId="54" totalsRowDxfId="53" dataCellStyle="Normal 2"/>
    <tableColumn id="42" xr3:uid="{42825D5A-D18E-49D3-BB8F-EA1165D885F7}" name="meta objeto" dataDxfId="52" totalsRowDxfId="51" dataCellStyle="Normal 2">
      <calculatedColumnFormula>MID(PAA[[#This Row],[Meta Proyecto de Inversión]],1,4)</calculatedColumnFormula>
    </tableColumn>
    <tableColumn id="43" xr3:uid="{84B78E2C-6E64-4CCD-9B0C-3F6A1F27A8AF}" name="meta objeto2" dataDxfId="50" totalsRowDxfId="49" dataCellStyle="Normal 2">
      <calculatedColumnFormula>MID(PAA[[#This Row],[Meta Proyecto de Inversión]],6,2)</calculatedColumnFormula>
    </tableColumn>
    <tableColumn id="15" xr3:uid="{00000000-0010-0000-0000-00000F000000}" name="Bogotá camina segura" dataDxfId="48" totalsRowDxfId="47" dataCellStyle="Normal 2">
      <calculatedColumnFormula>IFERROR(VLOOKUP(N12,TD!$B$54:$F$58,2,0)," ")</calculatedColumnFormula>
    </tableColumn>
    <tableColumn id="16" xr3:uid="{00000000-0010-0000-0000-000010000000}" name="Sector_Programa MGA" dataDxfId="46" totalsRowDxfId="45" dataCellStyle="Normal 2">
      <calculatedColumnFormula>IFERROR(VLOOKUP(N12,TD!$B$54:$F$58,3,0)," ")</calculatedColumnFormula>
    </tableColumn>
    <tableColumn id="17" xr3:uid="{00000000-0010-0000-0000-000011000000}" name="BPIN (AÑO+COD_PROYECTO)" dataDxfId="44" totalsRowDxfId="43" dataCellStyle="Normal 2">
      <calculatedColumnFormula>IFERROR(VLOOKUP(N12,TD!$B$54:$F$58,4,0)," ")</calculatedColumnFormula>
    </tableColumn>
    <tableColumn id="18" xr3:uid="{00000000-0010-0000-0000-000012000000}" name="Producto PMR" dataDxfId="42" totalsRowDxfId="41" dataCellStyle="Normal 2"/>
    <tableColumn id="19" xr3:uid="{00000000-0010-0000-0000-000013000000}" name="Descripción Producto PMR" dataDxfId="40" totalsRowDxfId="39" dataCellStyle="Normal 2"/>
    <tableColumn id="20" xr3:uid="{00000000-0010-0000-0000-000014000000}" name="PMR conca" dataDxfId="38" totalsRowDxfId="37" dataCellStyle="Normal 2">
      <calculatedColumnFormula>CONCATENATE(X12,"-",Y12)</calculatedColumnFormula>
    </tableColumn>
    <tableColumn id="21" xr3:uid="{00000000-0010-0000-0000-000015000000}" name="Producto MGA" dataDxfId="36" totalsRowDxfId="35" dataCellStyle="Normal 2"/>
    <tableColumn id="22" xr3:uid="{00000000-0010-0000-0000-000016000000}" name="Descripción Producto MGA" dataDxfId="34" totalsRowDxfId="33" dataCellStyle="Normal 2"/>
    <tableColumn id="23" xr3:uid="{00000000-0010-0000-0000-000017000000}" name="concatenarMGA" dataDxfId="32" totalsRowDxfId="31" dataCellStyle="Normal 2">
      <calculatedColumnFormula>CONCATENATE(AA12,"_",AB12)</calculatedColumnFormula>
    </tableColumn>
    <tableColumn id="24" xr3:uid="{00000000-0010-0000-0000-000018000000}" name="PM MGA conca" dataDxfId="30" totalsRowDxfId="29" dataCellStyle="Normal 2">
      <calculatedColumnFormula>CONCATENATE(Z12," ",AC12)</calculatedColumnFormula>
    </tableColumn>
    <tableColumn id="25" xr3:uid="{00000000-0010-0000-0000-000019000000}" name="Código de proyecto de inversión, asociado a productos PMR y MGA" dataDxfId="28" totalsRowDxfId="27" dataCellStyle="Normal 2">
      <calculatedColumnFormula>CONCATENATE(U12,V12,W12,X12,AA12)</calculatedColumnFormula>
    </tableColumn>
    <tableColumn id="26" xr3:uid="{00000000-0010-0000-0000-00001A000000}" name="codigo PEP" dataDxfId="26" totalsRowDxfId="25" dataCellStyle="Normal 2"/>
    <tableColumn id="27" xr3:uid="{00000000-0010-0000-0000-00001B000000}" name="POSPRE" dataDxfId="24" totalsRowDxfId="23" dataCellStyle="Millares"/>
    <tableColumn id="28" xr3:uid="{00000000-0010-0000-0000-00001C000000}" name="Si Secop / No Secop" dataDxfId="22" totalsRowDxfId="21" dataCellStyle="Normal 2"/>
    <tableColumn id="41" xr3:uid="{9A77615E-E441-4C5E-9871-62C3FAF4DAF0}" name="Objeto de contratacion CDP" dataDxfId="20" totalsRowDxfId="19">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042"/>
  <sheetViews>
    <sheetView zoomScale="75" zoomScaleNormal="75" workbookViewId="0">
      <selection activeCell="B16" sqref="B16:B17"/>
    </sheetView>
  </sheetViews>
  <sheetFormatPr baseColWidth="10" defaultRowHeight="14.5" x14ac:dyDescent="0.35"/>
  <cols>
    <col min="1" max="1" width="39.26953125" customWidth="1"/>
    <col min="2" max="2" width="31" customWidth="1"/>
    <col min="3" max="3" width="18.90625" customWidth="1"/>
    <col min="4" max="4" width="16.90625" customWidth="1"/>
    <col min="5" max="5" width="36.08984375" customWidth="1"/>
    <col min="6" max="6" width="16.36328125" style="120"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M1" s="120"/>
    </row>
    <row r="2" spans="1:13" x14ac:dyDescent="0.35">
      <c r="A2" s="57" t="s">
        <v>368</v>
      </c>
      <c r="B2" t="s">
        <v>1304</v>
      </c>
      <c r="M2" s="120"/>
    </row>
    <row r="3" spans="1:13" x14ac:dyDescent="0.35">
      <c r="F3"/>
    </row>
    <row r="4" spans="1:13" x14ac:dyDescent="0.35">
      <c r="A4" s="57" t="s">
        <v>346</v>
      </c>
      <c r="B4" s="58" t="s">
        <v>546</v>
      </c>
      <c r="F4"/>
    </row>
    <row r="5" spans="1:13" x14ac:dyDescent="0.35">
      <c r="A5" s="157" t="s">
        <v>402</v>
      </c>
      <c r="B5" s="58">
        <v>57649476604</v>
      </c>
      <c r="F5"/>
    </row>
    <row r="6" spans="1:13" x14ac:dyDescent="0.35">
      <c r="A6" s="157" t="s">
        <v>363</v>
      </c>
      <c r="B6" s="58">
        <v>32186983179.000008</v>
      </c>
      <c r="F6"/>
    </row>
    <row r="7" spans="1:13" x14ac:dyDescent="0.35">
      <c r="A7" s="157" t="s">
        <v>347</v>
      </c>
      <c r="B7" s="58">
        <v>89836459783</v>
      </c>
      <c r="F7"/>
    </row>
    <row r="8" spans="1:13" x14ac:dyDescent="0.35">
      <c r="F8"/>
    </row>
    <row r="9" spans="1:13" x14ac:dyDescent="0.35">
      <c r="F9"/>
    </row>
    <row r="10" spans="1:13" x14ac:dyDescent="0.35">
      <c r="A10" s="57" t="s">
        <v>364</v>
      </c>
      <c r="B10" t="s">
        <v>1304</v>
      </c>
      <c r="F10"/>
    </row>
    <row r="11" spans="1:13" x14ac:dyDescent="0.35">
      <c r="A11" s="57" t="s">
        <v>368</v>
      </c>
      <c r="B11" t="s">
        <v>1335</v>
      </c>
      <c r="F11"/>
    </row>
    <row r="12" spans="1:13" x14ac:dyDescent="0.35">
      <c r="F12"/>
    </row>
    <row r="13" spans="1:13" x14ac:dyDescent="0.35">
      <c r="A13" s="57" t="s">
        <v>346</v>
      </c>
      <c r="B13" s="58" t="s">
        <v>546</v>
      </c>
      <c r="F13"/>
    </row>
    <row r="14" spans="1:13" x14ac:dyDescent="0.35">
      <c r="A14" t="s">
        <v>161</v>
      </c>
      <c r="B14" s="58">
        <v>213419000</v>
      </c>
      <c r="F14"/>
    </row>
    <row r="15" spans="1:13" x14ac:dyDescent="0.35">
      <c r="A15" t="s">
        <v>534</v>
      </c>
      <c r="B15" s="58">
        <v>8000000000</v>
      </c>
      <c r="F15"/>
    </row>
    <row r="16" spans="1:13" x14ac:dyDescent="0.35">
      <c r="A16" t="s">
        <v>348</v>
      </c>
      <c r="B16" s="58">
        <v>52447486864</v>
      </c>
      <c r="F16"/>
    </row>
    <row r="17" spans="1:6" x14ac:dyDescent="0.35">
      <c r="A17" t="s">
        <v>162</v>
      </c>
      <c r="B17" s="58">
        <v>359496136</v>
      </c>
      <c r="F17"/>
    </row>
    <row r="18" spans="1:6" x14ac:dyDescent="0.35">
      <c r="A18" t="s">
        <v>549</v>
      </c>
      <c r="B18" s="58">
        <v>6914369000</v>
      </c>
      <c r="F18"/>
    </row>
    <row r="19" spans="1:6" x14ac:dyDescent="0.35">
      <c r="A19" t="s">
        <v>347</v>
      </c>
      <c r="B19" s="58">
        <v>67934771000</v>
      </c>
      <c r="F19"/>
    </row>
    <row r="20" spans="1:6" x14ac:dyDescent="0.35">
      <c r="F20"/>
    </row>
    <row r="21" spans="1:6" x14ac:dyDescent="0.35">
      <c r="F21"/>
    </row>
    <row r="22" spans="1:6" x14ac:dyDescent="0.35">
      <c r="F22"/>
    </row>
    <row r="23" spans="1:6" x14ac:dyDescent="0.35">
      <c r="F23"/>
    </row>
    <row r="24" spans="1:6" x14ac:dyDescent="0.35">
      <c r="F24"/>
    </row>
    <row r="25" spans="1:6" ht="16.5" customHeight="1" x14ac:dyDescent="0.35">
      <c r="F25"/>
    </row>
    <row r="26" spans="1:6" ht="16.5" customHeight="1" x14ac:dyDescent="0.35">
      <c r="F26"/>
    </row>
    <row r="27" spans="1:6" ht="16.5" customHeight="1" x14ac:dyDescent="0.35">
      <c r="F27"/>
    </row>
    <row r="28" spans="1:6" ht="16.5" customHeight="1" x14ac:dyDescent="0.35">
      <c r="F28"/>
    </row>
    <row r="29" spans="1:6" ht="16.5" customHeight="1" x14ac:dyDescent="0.35">
      <c r="F29"/>
    </row>
    <row r="30" spans="1:6" ht="16.5" customHeight="1" x14ac:dyDescent="0.35">
      <c r="F30"/>
    </row>
    <row r="31" spans="1:6" ht="16.5" customHeight="1" x14ac:dyDescent="0.35">
      <c r="F31"/>
    </row>
    <row r="32" spans="1:6" ht="16.5" customHeight="1" x14ac:dyDescent="0.35">
      <c r="F32"/>
    </row>
    <row r="33" spans="1:6" ht="16.5" customHeight="1" x14ac:dyDescent="0.35">
      <c r="F33"/>
    </row>
    <row r="34" spans="1:6" ht="16.5" customHeight="1" x14ac:dyDescent="0.35">
      <c r="F34"/>
    </row>
    <row r="35" spans="1:6" ht="16.5" customHeight="1" x14ac:dyDescent="0.35">
      <c r="F35"/>
    </row>
    <row r="36" spans="1:6" ht="16.5" customHeight="1" x14ac:dyDescent="0.35">
      <c r="F36"/>
    </row>
    <row r="37" spans="1:6" ht="16.5" customHeight="1" x14ac:dyDescent="0.35">
      <c r="B37" s="58"/>
      <c r="C37" s="58"/>
      <c r="D37" s="58"/>
      <c r="F37"/>
    </row>
    <row r="38" spans="1:6" ht="16.5" customHeight="1" x14ac:dyDescent="0.35">
      <c r="B38" s="58"/>
      <c r="C38" s="58"/>
      <c r="D38" s="58"/>
      <c r="F38"/>
    </row>
    <row r="39" spans="1:6" ht="16.5" customHeight="1" x14ac:dyDescent="0.35">
      <c r="B39" s="58"/>
      <c r="C39" s="58"/>
      <c r="D39" s="58"/>
      <c r="F39"/>
    </row>
    <row r="40" spans="1:6" ht="16.5" customHeight="1" x14ac:dyDescent="0.35">
      <c r="B40" s="58"/>
      <c r="C40" s="58"/>
      <c r="D40" s="58"/>
      <c r="F40"/>
    </row>
    <row r="41" spans="1:6" ht="16.5" customHeight="1" x14ac:dyDescent="0.35">
      <c r="B41" s="58"/>
      <c r="C41" s="58"/>
      <c r="D41" s="58"/>
      <c r="F41"/>
    </row>
    <row r="42" spans="1:6" ht="16.5" customHeight="1" x14ac:dyDescent="0.35">
      <c r="B42" s="58"/>
      <c r="C42" s="58"/>
      <c r="D42" s="58"/>
      <c r="F42"/>
    </row>
    <row r="43" spans="1:6" x14ac:dyDescent="0.35">
      <c r="F43"/>
    </row>
    <row r="44" spans="1:6" x14ac:dyDescent="0.35">
      <c r="A44" s="57" t="s">
        <v>364</v>
      </c>
      <c r="B44" t="s">
        <v>1304</v>
      </c>
      <c r="F44"/>
    </row>
    <row r="45" spans="1:6" x14ac:dyDescent="0.35">
      <c r="A45" s="57" t="s">
        <v>368</v>
      </c>
      <c r="B45" t="s">
        <v>1304</v>
      </c>
      <c r="F45"/>
    </row>
    <row r="46" spans="1:6" x14ac:dyDescent="0.35">
      <c r="F46"/>
    </row>
    <row r="47" spans="1:6" x14ac:dyDescent="0.35">
      <c r="A47" s="57" t="s">
        <v>346</v>
      </c>
      <c r="B47" s="57" t="s">
        <v>366</v>
      </c>
      <c r="C47" s="57" t="s">
        <v>68</v>
      </c>
      <c r="D47" s="57" t="s">
        <v>77</v>
      </c>
      <c r="F47"/>
    </row>
    <row r="48" spans="1:6" x14ac:dyDescent="0.35">
      <c r="A48" t="s">
        <v>1336</v>
      </c>
      <c r="B48" t="s">
        <v>154</v>
      </c>
      <c r="C48" t="s">
        <v>335</v>
      </c>
      <c r="D48" t="s">
        <v>332</v>
      </c>
      <c r="F48"/>
    </row>
    <row r="49" spans="1:6" x14ac:dyDescent="0.35">
      <c r="A49" t="s">
        <v>1361</v>
      </c>
      <c r="B49" t="s">
        <v>151</v>
      </c>
      <c r="C49" t="s">
        <v>161</v>
      </c>
      <c r="D49" t="s">
        <v>332</v>
      </c>
      <c r="F49"/>
    </row>
    <row r="50" spans="1:6" x14ac:dyDescent="0.35">
      <c r="A50" t="s">
        <v>1361</v>
      </c>
      <c r="B50" t="s">
        <v>151</v>
      </c>
      <c r="C50" t="s">
        <v>161</v>
      </c>
      <c r="D50" t="s">
        <v>345</v>
      </c>
      <c r="F50"/>
    </row>
    <row r="51" spans="1:6" x14ac:dyDescent="0.35">
      <c r="A51" t="s">
        <v>1361</v>
      </c>
      <c r="B51" t="s">
        <v>151</v>
      </c>
      <c r="C51" t="s">
        <v>161</v>
      </c>
      <c r="D51" t="s">
        <v>344</v>
      </c>
      <c r="F51"/>
    </row>
    <row r="52" spans="1:6" x14ac:dyDescent="0.35">
      <c r="A52" t="s">
        <v>1361</v>
      </c>
      <c r="B52" t="s">
        <v>151</v>
      </c>
      <c r="C52" t="s">
        <v>161</v>
      </c>
      <c r="D52" t="s">
        <v>343</v>
      </c>
      <c r="F52"/>
    </row>
    <row r="53" spans="1:6" x14ac:dyDescent="0.35">
      <c r="A53" t="s">
        <v>1361</v>
      </c>
      <c r="B53" t="s">
        <v>153</v>
      </c>
      <c r="C53" t="s">
        <v>161</v>
      </c>
      <c r="D53" t="s">
        <v>332</v>
      </c>
      <c r="F53"/>
    </row>
    <row r="54" spans="1:6" x14ac:dyDescent="0.35">
      <c r="A54" t="s">
        <v>1361</v>
      </c>
      <c r="B54" t="s">
        <v>155</v>
      </c>
      <c r="C54" t="s">
        <v>161</v>
      </c>
      <c r="D54" t="s">
        <v>332</v>
      </c>
      <c r="F54"/>
    </row>
    <row r="55" spans="1:6" x14ac:dyDescent="0.35">
      <c r="A55" t="s">
        <v>1361</v>
      </c>
      <c r="B55" t="s">
        <v>154</v>
      </c>
      <c r="C55" t="s">
        <v>161</v>
      </c>
      <c r="D55" t="s">
        <v>332</v>
      </c>
      <c r="F55"/>
    </row>
    <row r="56" spans="1:6" x14ac:dyDescent="0.35">
      <c r="A56" t="s">
        <v>1361</v>
      </c>
      <c r="B56" t="s">
        <v>157</v>
      </c>
      <c r="C56" t="s">
        <v>161</v>
      </c>
      <c r="D56" t="s">
        <v>332</v>
      </c>
      <c r="F56"/>
    </row>
    <row r="57" spans="1:6" x14ac:dyDescent="0.35">
      <c r="A57" t="s">
        <v>1361</v>
      </c>
      <c r="B57" t="s">
        <v>158</v>
      </c>
      <c r="C57" t="s">
        <v>161</v>
      </c>
      <c r="D57" t="s">
        <v>349</v>
      </c>
      <c r="F57"/>
    </row>
    <row r="58" spans="1:6" x14ac:dyDescent="0.35">
      <c r="A58" t="s">
        <v>314</v>
      </c>
      <c r="B58" t="s">
        <v>158</v>
      </c>
      <c r="C58" t="s">
        <v>348</v>
      </c>
      <c r="D58" t="s">
        <v>1230</v>
      </c>
      <c r="F58"/>
    </row>
    <row r="59" spans="1:6" x14ac:dyDescent="0.35">
      <c r="A59" t="s">
        <v>314</v>
      </c>
      <c r="B59" t="s">
        <v>158</v>
      </c>
      <c r="C59" t="s">
        <v>348</v>
      </c>
      <c r="D59" t="s">
        <v>385</v>
      </c>
      <c r="F59"/>
    </row>
    <row r="60" spans="1:6" x14ac:dyDescent="0.35">
      <c r="A60" t="s">
        <v>314</v>
      </c>
      <c r="B60" t="s">
        <v>158</v>
      </c>
      <c r="C60" t="s">
        <v>549</v>
      </c>
      <c r="D60" t="s">
        <v>80</v>
      </c>
      <c r="F60"/>
    </row>
    <row r="61" spans="1:6" x14ac:dyDescent="0.35">
      <c r="A61" t="s">
        <v>310</v>
      </c>
      <c r="B61" t="s">
        <v>156</v>
      </c>
      <c r="C61" t="s">
        <v>348</v>
      </c>
      <c r="D61" t="s">
        <v>80</v>
      </c>
      <c r="F61"/>
    </row>
    <row r="62" spans="1:6" x14ac:dyDescent="0.35">
      <c r="A62" t="s">
        <v>310</v>
      </c>
      <c r="B62" t="s">
        <v>156</v>
      </c>
      <c r="C62" t="s">
        <v>348</v>
      </c>
      <c r="D62" t="s">
        <v>543</v>
      </c>
      <c r="F62"/>
    </row>
    <row r="63" spans="1:6" x14ac:dyDescent="0.35">
      <c r="A63" t="s">
        <v>310</v>
      </c>
      <c r="B63" t="s">
        <v>156</v>
      </c>
      <c r="C63" t="s">
        <v>348</v>
      </c>
      <c r="D63" t="s">
        <v>533</v>
      </c>
      <c r="F63"/>
    </row>
    <row r="64" spans="1:6" x14ac:dyDescent="0.35">
      <c r="A64" t="s">
        <v>310</v>
      </c>
      <c r="B64" t="s">
        <v>156</v>
      </c>
      <c r="C64" t="s">
        <v>348</v>
      </c>
      <c r="D64" t="s">
        <v>862</v>
      </c>
      <c r="F64"/>
    </row>
    <row r="65" spans="1:6" x14ac:dyDescent="0.35">
      <c r="A65" t="s">
        <v>310</v>
      </c>
      <c r="B65" t="s">
        <v>156</v>
      </c>
      <c r="C65" t="s">
        <v>348</v>
      </c>
      <c r="D65" t="s">
        <v>532</v>
      </c>
      <c r="F65"/>
    </row>
    <row r="66" spans="1:6" x14ac:dyDescent="0.35">
      <c r="A66" t="s">
        <v>310</v>
      </c>
      <c r="B66" t="s">
        <v>156</v>
      </c>
      <c r="C66" t="s">
        <v>348</v>
      </c>
      <c r="D66" t="s">
        <v>863</v>
      </c>
      <c r="F66"/>
    </row>
    <row r="67" spans="1:6" x14ac:dyDescent="0.35">
      <c r="A67" t="s">
        <v>310</v>
      </c>
      <c r="B67" t="s">
        <v>156</v>
      </c>
      <c r="C67" t="s">
        <v>348</v>
      </c>
      <c r="D67" t="s">
        <v>385</v>
      </c>
      <c r="F67"/>
    </row>
    <row r="68" spans="1:6" x14ac:dyDescent="0.35">
      <c r="A68" t="s">
        <v>312</v>
      </c>
      <c r="B68" t="s">
        <v>156</v>
      </c>
      <c r="C68" t="s">
        <v>348</v>
      </c>
      <c r="D68" t="s">
        <v>385</v>
      </c>
      <c r="F68"/>
    </row>
    <row r="69" spans="1:6" x14ac:dyDescent="0.35">
      <c r="A69" t="s">
        <v>325</v>
      </c>
      <c r="B69" t="s">
        <v>154</v>
      </c>
      <c r="C69" t="s">
        <v>348</v>
      </c>
      <c r="D69" t="s">
        <v>866</v>
      </c>
      <c r="F69"/>
    </row>
    <row r="70" spans="1:6" x14ac:dyDescent="0.35">
      <c r="A70" t="s">
        <v>325</v>
      </c>
      <c r="B70" t="s">
        <v>154</v>
      </c>
      <c r="C70" t="s">
        <v>348</v>
      </c>
      <c r="D70" t="s">
        <v>867</v>
      </c>
      <c r="F70"/>
    </row>
    <row r="71" spans="1:6" x14ac:dyDescent="0.35">
      <c r="A71" t="s">
        <v>325</v>
      </c>
      <c r="B71" t="s">
        <v>154</v>
      </c>
      <c r="C71" t="s">
        <v>348</v>
      </c>
      <c r="D71" t="s">
        <v>385</v>
      </c>
      <c r="F71"/>
    </row>
    <row r="72" spans="1:6" x14ac:dyDescent="0.35">
      <c r="A72" t="s">
        <v>325</v>
      </c>
      <c r="B72" t="s">
        <v>154</v>
      </c>
      <c r="C72" t="s">
        <v>348</v>
      </c>
      <c r="D72" t="s">
        <v>865</v>
      </c>
      <c r="F72"/>
    </row>
    <row r="73" spans="1:6" x14ac:dyDescent="0.35">
      <c r="A73" t="s">
        <v>325</v>
      </c>
      <c r="B73" t="s">
        <v>154</v>
      </c>
      <c r="C73" t="s">
        <v>348</v>
      </c>
      <c r="D73" t="s">
        <v>545</v>
      </c>
      <c r="F73"/>
    </row>
    <row r="74" spans="1:6" x14ac:dyDescent="0.35">
      <c r="A74" t="s">
        <v>1337</v>
      </c>
      <c r="B74" t="s">
        <v>155</v>
      </c>
      <c r="C74" t="s">
        <v>348</v>
      </c>
      <c r="D74" t="s">
        <v>94</v>
      </c>
      <c r="F74"/>
    </row>
    <row r="75" spans="1:6" x14ac:dyDescent="0.35">
      <c r="A75" t="s">
        <v>1337</v>
      </c>
      <c r="B75" t="s">
        <v>155</v>
      </c>
      <c r="C75" t="s">
        <v>348</v>
      </c>
      <c r="D75" t="s">
        <v>385</v>
      </c>
      <c r="F75"/>
    </row>
    <row r="76" spans="1:6" x14ac:dyDescent="0.35">
      <c r="A76" t="s">
        <v>1337</v>
      </c>
      <c r="B76" t="s">
        <v>155</v>
      </c>
      <c r="C76" t="s">
        <v>162</v>
      </c>
      <c r="D76" t="s">
        <v>94</v>
      </c>
      <c r="F76"/>
    </row>
    <row r="77" spans="1:6" x14ac:dyDescent="0.35">
      <c r="A77" t="s">
        <v>1337</v>
      </c>
      <c r="B77" t="s">
        <v>155</v>
      </c>
      <c r="C77" t="s">
        <v>162</v>
      </c>
      <c r="D77" t="s">
        <v>548</v>
      </c>
      <c r="F77"/>
    </row>
    <row r="78" spans="1:6" x14ac:dyDescent="0.35">
      <c r="A78" t="s">
        <v>1337</v>
      </c>
      <c r="B78" t="s">
        <v>1151</v>
      </c>
      <c r="C78" t="s">
        <v>348</v>
      </c>
      <c r="D78" t="s">
        <v>385</v>
      </c>
      <c r="F78"/>
    </row>
    <row r="79" spans="1:6" x14ac:dyDescent="0.35">
      <c r="A79" t="s">
        <v>317</v>
      </c>
      <c r="B79" t="s">
        <v>157</v>
      </c>
      <c r="C79" t="s">
        <v>161</v>
      </c>
      <c r="D79" t="s">
        <v>80</v>
      </c>
      <c r="F79"/>
    </row>
    <row r="80" spans="1:6" x14ac:dyDescent="0.35">
      <c r="A80" t="s">
        <v>317</v>
      </c>
      <c r="B80" t="s">
        <v>157</v>
      </c>
      <c r="C80" t="s">
        <v>348</v>
      </c>
      <c r="D80" t="s">
        <v>80</v>
      </c>
      <c r="F80"/>
    </row>
    <row r="81" spans="1:6" x14ac:dyDescent="0.35">
      <c r="A81" t="s">
        <v>317</v>
      </c>
      <c r="B81" t="s">
        <v>157</v>
      </c>
      <c r="C81" t="s">
        <v>348</v>
      </c>
      <c r="D81" t="s">
        <v>547</v>
      </c>
      <c r="F81"/>
    </row>
    <row r="82" spans="1:6" x14ac:dyDescent="0.35">
      <c r="A82" t="s">
        <v>317</v>
      </c>
      <c r="B82" t="s">
        <v>157</v>
      </c>
      <c r="C82" t="s">
        <v>348</v>
      </c>
      <c r="D82" t="s">
        <v>387</v>
      </c>
      <c r="F82"/>
    </row>
    <row r="83" spans="1:6" x14ac:dyDescent="0.35">
      <c r="A83" t="s">
        <v>317</v>
      </c>
      <c r="B83" t="s">
        <v>157</v>
      </c>
      <c r="C83" t="s">
        <v>348</v>
      </c>
      <c r="D83" t="s">
        <v>548</v>
      </c>
      <c r="F83"/>
    </row>
    <row r="84" spans="1:6" x14ac:dyDescent="0.35">
      <c r="A84" t="s">
        <v>317</v>
      </c>
      <c r="B84" t="s">
        <v>157</v>
      </c>
      <c r="C84" t="s">
        <v>348</v>
      </c>
      <c r="D84" t="s">
        <v>385</v>
      </c>
      <c r="F84"/>
    </row>
    <row r="85" spans="1:6" x14ac:dyDescent="0.35">
      <c r="A85" t="s">
        <v>315</v>
      </c>
      <c r="B85" t="s">
        <v>158</v>
      </c>
      <c r="C85" t="s">
        <v>348</v>
      </c>
      <c r="D85" t="s">
        <v>80</v>
      </c>
      <c r="F85"/>
    </row>
    <row r="86" spans="1:6" x14ac:dyDescent="0.35">
      <c r="A86" t="s">
        <v>315</v>
      </c>
      <c r="B86" t="s">
        <v>158</v>
      </c>
      <c r="C86" t="s">
        <v>348</v>
      </c>
      <c r="D86" t="s">
        <v>864</v>
      </c>
      <c r="F86"/>
    </row>
    <row r="87" spans="1:6" x14ac:dyDescent="0.35">
      <c r="A87" t="s">
        <v>315</v>
      </c>
      <c r="B87" t="s">
        <v>158</v>
      </c>
      <c r="C87" t="s">
        <v>348</v>
      </c>
      <c r="D87" t="s">
        <v>1137</v>
      </c>
      <c r="F87"/>
    </row>
    <row r="88" spans="1:6" x14ac:dyDescent="0.35">
      <c r="A88" t="s">
        <v>319</v>
      </c>
      <c r="B88" t="s">
        <v>157</v>
      </c>
      <c r="C88" t="s">
        <v>161</v>
      </c>
      <c r="D88" t="s">
        <v>85</v>
      </c>
      <c r="F88"/>
    </row>
    <row r="89" spans="1:6" x14ac:dyDescent="0.35">
      <c r="A89" t="s">
        <v>319</v>
      </c>
      <c r="B89" t="s">
        <v>157</v>
      </c>
      <c r="C89" t="s">
        <v>161</v>
      </c>
      <c r="D89" t="s">
        <v>102</v>
      </c>
      <c r="F89"/>
    </row>
    <row r="90" spans="1:6" x14ac:dyDescent="0.35">
      <c r="A90" t="s">
        <v>319</v>
      </c>
      <c r="B90" t="s">
        <v>157</v>
      </c>
      <c r="C90" t="s">
        <v>348</v>
      </c>
      <c r="D90" t="s">
        <v>80</v>
      </c>
      <c r="F90"/>
    </row>
    <row r="91" spans="1:6" x14ac:dyDescent="0.35">
      <c r="A91" t="s">
        <v>319</v>
      </c>
      <c r="B91" t="s">
        <v>157</v>
      </c>
      <c r="C91" t="s">
        <v>348</v>
      </c>
      <c r="D91" t="s">
        <v>864</v>
      </c>
      <c r="F91"/>
    </row>
    <row r="92" spans="1:6" x14ac:dyDescent="0.35">
      <c r="A92" t="s">
        <v>319</v>
      </c>
      <c r="B92" t="s">
        <v>157</v>
      </c>
      <c r="C92" t="s">
        <v>348</v>
      </c>
      <c r="D92" t="s">
        <v>85</v>
      </c>
      <c r="F92"/>
    </row>
    <row r="93" spans="1:6" x14ac:dyDescent="0.35">
      <c r="A93" t="s">
        <v>319</v>
      </c>
      <c r="B93" t="s">
        <v>157</v>
      </c>
      <c r="C93" t="s">
        <v>348</v>
      </c>
      <c r="D93" t="s">
        <v>102</v>
      </c>
      <c r="F93"/>
    </row>
    <row r="94" spans="1:6" x14ac:dyDescent="0.35">
      <c r="A94" t="s">
        <v>319</v>
      </c>
      <c r="B94" t="s">
        <v>157</v>
      </c>
      <c r="C94" t="s">
        <v>348</v>
      </c>
      <c r="D94" t="s">
        <v>125</v>
      </c>
      <c r="F94"/>
    </row>
    <row r="95" spans="1:6" x14ac:dyDescent="0.35">
      <c r="A95" t="s">
        <v>319</v>
      </c>
      <c r="B95" t="s">
        <v>157</v>
      </c>
      <c r="C95" t="s">
        <v>348</v>
      </c>
      <c r="D95" t="s">
        <v>385</v>
      </c>
      <c r="F95"/>
    </row>
    <row r="96" spans="1:6" x14ac:dyDescent="0.35">
      <c r="A96" t="s">
        <v>1338</v>
      </c>
      <c r="B96" t="s">
        <v>155</v>
      </c>
      <c r="C96" t="s">
        <v>534</v>
      </c>
      <c r="D96" t="s">
        <v>94</v>
      </c>
      <c r="F96"/>
    </row>
    <row r="97" spans="1:6" x14ac:dyDescent="0.35">
      <c r="A97" t="s">
        <v>1338</v>
      </c>
      <c r="B97" t="s">
        <v>155</v>
      </c>
      <c r="C97" t="s">
        <v>348</v>
      </c>
      <c r="D97" t="s">
        <v>866</v>
      </c>
      <c r="F97"/>
    </row>
    <row r="98" spans="1:6" x14ac:dyDescent="0.35">
      <c r="A98" t="s">
        <v>1338</v>
      </c>
      <c r="B98" t="s">
        <v>155</v>
      </c>
      <c r="C98" t="s">
        <v>348</v>
      </c>
      <c r="D98" t="s">
        <v>80</v>
      </c>
      <c r="F98"/>
    </row>
    <row r="99" spans="1:6" x14ac:dyDescent="0.35">
      <c r="A99" t="s">
        <v>1338</v>
      </c>
      <c r="B99" t="s">
        <v>155</v>
      </c>
      <c r="C99" t="s">
        <v>348</v>
      </c>
      <c r="D99" t="s">
        <v>355</v>
      </c>
      <c r="F99"/>
    </row>
    <row r="100" spans="1:6" x14ac:dyDescent="0.35">
      <c r="A100" t="s">
        <v>1338</v>
      </c>
      <c r="B100" t="s">
        <v>155</v>
      </c>
      <c r="C100" t="s">
        <v>348</v>
      </c>
      <c r="D100" t="s">
        <v>353</v>
      </c>
      <c r="F100"/>
    </row>
    <row r="101" spans="1:6" x14ac:dyDescent="0.35">
      <c r="A101" t="s">
        <v>1338</v>
      </c>
      <c r="B101" t="s">
        <v>155</v>
      </c>
      <c r="C101" t="s">
        <v>348</v>
      </c>
      <c r="D101" t="s">
        <v>354</v>
      </c>
      <c r="F101"/>
    </row>
    <row r="102" spans="1:6" x14ac:dyDescent="0.35">
      <c r="A102" t="s">
        <v>1338</v>
      </c>
      <c r="B102" t="s">
        <v>155</v>
      </c>
      <c r="C102" t="s">
        <v>348</v>
      </c>
      <c r="D102" t="s">
        <v>356</v>
      </c>
      <c r="F102"/>
    </row>
    <row r="103" spans="1:6" x14ac:dyDescent="0.35">
      <c r="A103" t="s">
        <v>1338</v>
      </c>
      <c r="B103" t="s">
        <v>155</v>
      </c>
      <c r="C103" t="s">
        <v>348</v>
      </c>
      <c r="D103" t="s">
        <v>94</v>
      </c>
      <c r="F103"/>
    </row>
    <row r="104" spans="1:6" x14ac:dyDescent="0.35">
      <c r="A104" t="s">
        <v>1338</v>
      </c>
      <c r="B104" t="s">
        <v>155</v>
      </c>
      <c r="C104" t="s">
        <v>348</v>
      </c>
      <c r="D104" t="s">
        <v>868</v>
      </c>
      <c r="F104"/>
    </row>
    <row r="105" spans="1:6" x14ac:dyDescent="0.35">
      <c r="A105" t="s">
        <v>1338</v>
      </c>
      <c r="B105" t="s">
        <v>155</v>
      </c>
      <c r="C105" t="s">
        <v>348</v>
      </c>
      <c r="D105" t="s">
        <v>385</v>
      </c>
      <c r="F105"/>
    </row>
    <row r="106" spans="1:6" x14ac:dyDescent="0.35">
      <c r="A106" t="s">
        <v>1338</v>
      </c>
      <c r="B106" t="s">
        <v>155</v>
      </c>
      <c r="C106" t="s">
        <v>162</v>
      </c>
      <c r="D106" t="s">
        <v>94</v>
      </c>
      <c r="F106"/>
    </row>
    <row r="107" spans="1:6" x14ac:dyDescent="0.35">
      <c r="A107" t="s">
        <v>1339</v>
      </c>
      <c r="B107" t="s">
        <v>155</v>
      </c>
      <c r="C107" t="s">
        <v>534</v>
      </c>
      <c r="D107" t="s">
        <v>94</v>
      </c>
      <c r="F107"/>
    </row>
    <row r="108" spans="1:6" x14ac:dyDescent="0.35">
      <c r="A108" t="s">
        <v>1339</v>
      </c>
      <c r="B108" t="s">
        <v>155</v>
      </c>
      <c r="C108" t="s">
        <v>348</v>
      </c>
      <c r="D108" t="s">
        <v>385</v>
      </c>
      <c r="F108"/>
    </row>
    <row r="109" spans="1:6" x14ac:dyDescent="0.35">
      <c r="A109" t="s">
        <v>1340</v>
      </c>
      <c r="B109" t="s">
        <v>156</v>
      </c>
      <c r="C109" t="s">
        <v>348</v>
      </c>
      <c r="D109" t="s">
        <v>1230</v>
      </c>
      <c r="F109"/>
    </row>
    <row r="110" spans="1:6" x14ac:dyDescent="0.35">
      <c r="A110" t="s">
        <v>1340</v>
      </c>
      <c r="B110" t="s">
        <v>156</v>
      </c>
      <c r="C110" t="s">
        <v>348</v>
      </c>
      <c r="D110" t="s">
        <v>385</v>
      </c>
      <c r="F110"/>
    </row>
    <row r="111" spans="1:6" x14ac:dyDescent="0.35">
      <c r="A111" t="s">
        <v>300</v>
      </c>
      <c r="B111" t="s">
        <v>45</v>
      </c>
      <c r="C111" t="s">
        <v>348</v>
      </c>
      <c r="D111" t="s">
        <v>862</v>
      </c>
      <c r="F111"/>
    </row>
    <row r="112" spans="1:6" x14ac:dyDescent="0.35">
      <c r="A112" t="s">
        <v>300</v>
      </c>
      <c r="B112" t="s">
        <v>45</v>
      </c>
      <c r="C112" t="s">
        <v>348</v>
      </c>
      <c r="D112" t="s">
        <v>385</v>
      </c>
      <c r="F112"/>
    </row>
    <row r="113" spans="1:6" x14ac:dyDescent="0.35">
      <c r="A113" t="s">
        <v>300</v>
      </c>
      <c r="B113" t="s">
        <v>1144</v>
      </c>
      <c r="C113" t="s">
        <v>348</v>
      </c>
      <c r="D113" t="s">
        <v>385</v>
      </c>
      <c r="F113"/>
    </row>
    <row r="114" spans="1:6" x14ac:dyDescent="0.35">
      <c r="A114" t="s">
        <v>300</v>
      </c>
      <c r="B114" t="s">
        <v>46</v>
      </c>
      <c r="C114" t="s">
        <v>348</v>
      </c>
      <c r="D114" t="s">
        <v>385</v>
      </c>
      <c r="F114"/>
    </row>
    <row r="115" spans="1:6" x14ac:dyDescent="0.35">
      <c r="A115" t="s">
        <v>300</v>
      </c>
      <c r="B115" t="s">
        <v>1148</v>
      </c>
      <c r="C115" t="s">
        <v>348</v>
      </c>
      <c r="D115" t="s">
        <v>385</v>
      </c>
      <c r="F115"/>
    </row>
    <row r="116" spans="1:6" x14ac:dyDescent="0.35">
      <c r="A116" t="s">
        <v>300</v>
      </c>
      <c r="B116" t="s">
        <v>152</v>
      </c>
      <c r="C116" t="s">
        <v>348</v>
      </c>
      <c r="D116" t="s">
        <v>385</v>
      </c>
      <c r="F116"/>
    </row>
    <row r="117" spans="1:6" x14ac:dyDescent="0.35">
      <c r="A117" t="s">
        <v>300</v>
      </c>
      <c r="B117" t="s">
        <v>1149</v>
      </c>
      <c r="C117" t="s">
        <v>348</v>
      </c>
      <c r="D117" t="s">
        <v>385</v>
      </c>
      <c r="F117"/>
    </row>
    <row r="118" spans="1:6" x14ac:dyDescent="0.35">
      <c r="A118" t="s">
        <v>300</v>
      </c>
      <c r="B118" t="s">
        <v>153</v>
      </c>
      <c r="C118" t="s">
        <v>348</v>
      </c>
      <c r="D118" t="s">
        <v>385</v>
      </c>
      <c r="F118"/>
    </row>
    <row r="119" spans="1:6" x14ac:dyDescent="0.35">
      <c r="A119" t="s">
        <v>300</v>
      </c>
      <c r="B119" t="s">
        <v>1150</v>
      </c>
      <c r="C119" t="s">
        <v>348</v>
      </c>
      <c r="D119" t="s">
        <v>385</v>
      </c>
      <c r="F119"/>
    </row>
    <row r="120" spans="1:6" x14ac:dyDescent="0.35">
      <c r="A120" t="s">
        <v>300</v>
      </c>
      <c r="B120" t="s">
        <v>155</v>
      </c>
      <c r="C120" t="s">
        <v>348</v>
      </c>
      <c r="D120" t="s">
        <v>80</v>
      </c>
      <c r="F120"/>
    </row>
    <row r="121" spans="1:6" x14ac:dyDescent="0.35">
      <c r="A121" t="s">
        <v>300</v>
      </c>
      <c r="B121" t="s">
        <v>155</v>
      </c>
      <c r="C121" t="s">
        <v>348</v>
      </c>
      <c r="D121" t="s">
        <v>870</v>
      </c>
      <c r="F121"/>
    </row>
    <row r="122" spans="1:6" x14ac:dyDescent="0.35">
      <c r="A122" t="s">
        <v>300</v>
      </c>
      <c r="B122" t="s">
        <v>155</v>
      </c>
      <c r="C122" t="s">
        <v>348</v>
      </c>
      <c r="D122" t="s">
        <v>94</v>
      </c>
      <c r="F122"/>
    </row>
    <row r="123" spans="1:6" x14ac:dyDescent="0.35">
      <c r="A123" t="s">
        <v>300</v>
      </c>
      <c r="B123" t="s">
        <v>155</v>
      </c>
      <c r="C123" t="s">
        <v>348</v>
      </c>
      <c r="D123" t="s">
        <v>869</v>
      </c>
      <c r="F123"/>
    </row>
    <row r="124" spans="1:6" x14ac:dyDescent="0.35">
      <c r="A124" t="s">
        <v>300</v>
      </c>
      <c r="B124" t="s">
        <v>155</v>
      </c>
      <c r="C124" t="s">
        <v>348</v>
      </c>
      <c r="D124" t="s">
        <v>132</v>
      </c>
      <c r="F124"/>
    </row>
    <row r="125" spans="1:6" x14ac:dyDescent="0.35">
      <c r="A125" t="s">
        <v>300</v>
      </c>
      <c r="B125" t="s">
        <v>155</v>
      </c>
      <c r="C125" t="s">
        <v>348</v>
      </c>
      <c r="D125" t="s">
        <v>134</v>
      </c>
      <c r="F125"/>
    </row>
    <row r="126" spans="1:6" x14ac:dyDescent="0.35">
      <c r="A126" t="s">
        <v>300</v>
      </c>
      <c r="B126" t="s">
        <v>155</v>
      </c>
      <c r="C126" t="s">
        <v>348</v>
      </c>
      <c r="D126" t="s">
        <v>868</v>
      </c>
      <c r="F126"/>
    </row>
    <row r="127" spans="1:6" x14ac:dyDescent="0.35">
      <c r="A127" t="s">
        <v>300</v>
      </c>
      <c r="B127" t="s">
        <v>155</v>
      </c>
      <c r="C127" t="s">
        <v>348</v>
      </c>
      <c r="D127" t="s">
        <v>548</v>
      </c>
      <c r="F127"/>
    </row>
    <row r="128" spans="1:6" x14ac:dyDescent="0.35">
      <c r="A128" t="s">
        <v>300</v>
      </c>
      <c r="B128" t="s">
        <v>155</v>
      </c>
      <c r="C128" t="s">
        <v>348</v>
      </c>
      <c r="D128" t="s">
        <v>385</v>
      </c>
      <c r="F128"/>
    </row>
    <row r="129" spans="1:6" x14ac:dyDescent="0.35">
      <c r="A129" t="s">
        <v>300</v>
      </c>
      <c r="B129" t="s">
        <v>1151</v>
      </c>
      <c r="C129" t="s">
        <v>348</v>
      </c>
      <c r="D129" t="s">
        <v>80</v>
      </c>
      <c r="F129"/>
    </row>
    <row r="130" spans="1:6" x14ac:dyDescent="0.35">
      <c r="A130" t="s">
        <v>300</v>
      </c>
      <c r="B130" t="s">
        <v>1151</v>
      </c>
      <c r="C130" t="s">
        <v>348</v>
      </c>
      <c r="D130" t="s">
        <v>94</v>
      </c>
      <c r="F130"/>
    </row>
    <row r="131" spans="1:6" x14ac:dyDescent="0.35">
      <c r="A131" t="s">
        <v>300</v>
      </c>
      <c r="B131" t="s">
        <v>1151</v>
      </c>
      <c r="C131" t="s">
        <v>348</v>
      </c>
      <c r="D131" t="s">
        <v>134</v>
      </c>
      <c r="F131"/>
    </row>
    <row r="132" spans="1:6" x14ac:dyDescent="0.35">
      <c r="A132" t="s">
        <v>300</v>
      </c>
      <c r="B132" t="s">
        <v>1151</v>
      </c>
      <c r="C132" t="s">
        <v>348</v>
      </c>
      <c r="D132" t="s">
        <v>385</v>
      </c>
      <c r="F132"/>
    </row>
    <row r="133" spans="1:6" x14ac:dyDescent="0.35">
      <c r="A133" t="s">
        <v>300</v>
      </c>
      <c r="B133" t="s">
        <v>154</v>
      </c>
      <c r="C133" t="s">
        <v>348</v>
      </c>
      <c r="D133" t="s">
        <v>385</v>
      </c>
      <c r="F133"/>
    </row>
    <row r="134" spans="1:6" x14ac:dyDescent="0.35">
      <c r="A134" t="s">
        <v>300</v>
      </c>
      <c r="B134" t="s">
        <v>1152</v>
      </c>
      <c r="C134" t="s">
        <v>348</v>
      </c>
      <c r="D134" t="s">
        <v>385</v>
      </c>
      <c r="F134"/>
    </row>
    <row r="135" spans="1:6" x14ac:dyDescent="0.35">
      <c r="A135" t="s">
        <v>296</v>
      </c>
      <c r="B135" t="s">
        <v>151</v>
      </c>
      <c r="C135" t="s">
        <v>348</v>
      </c>
      <c r="D135" t="s">
        <v>116</v>
      </c>
      <c r="F135"/>
    </row>
    <row r="136" spans="1:6" x14ac:dyDescent="0.35">
      <c r="A136" t="s">
        <v>296</v>
      </c>
      <c r="B136" t="s">
        <v>151</v>
      </c>
      <c r="C136" t="s">
        <v>348</v>
      </c>
      <c r="D136" t="s">
        <v>1136</v>
      </c>
      <c r="F136"/>
    </row>
    <row r="137" spans="1:6" x14ac:dyDescent="0.35">
      <c r="A137" t="s">
        <v>296</v>
      </c>
      <c r="B137" t="s">
        <v>151</v>
      </c>
      <c r="C137" t="s">
        <v>348</v>
      </c>
      <c r="D137" t="s">
        <v>121</v>
      </c>
      <c r="F137"/>
    </row>
    <row r="138" spans="1:6" x14ac:dyDescent="0.35">
      <c r="A138" t="s">
        <v>296</v>
      </c>
      <c r="B138" t="s">
        <v>151</v>
      </c>
      <c r="C138" t="s">
        <v>348</v>
      </c>
      <c r="D138" t="s">
        <v>385</v>
      </c>
      <c r="F138"/>
    </row>
    <row r="139" spans="1:6" x14ac:dyDescent="0.35">
      <c r="A139" t="s">
        <v>296</v>
      </c>
      <c r="B139" t="s">
        <v>151</v>
      </c>
      <c r="C139" t="s">
        <v>162</v>
      </c>
      <c r="D139" t="s">
        <v>385</v>
      </c>
      <c r="F139"/>
    </row>
    <row r="140" spans="1:6" x14ac:dyDescent="0.35">
      <c r="A140" t="s">
        <v>296</v>
      </c>
      <c r="B140" t="s">
        <v>1146</v>
      </c>
      <c r="C140" t="s">
        <v>348</v>
      </c>
      <c r="D140" t="s">
        <v>116</v>
      </c>
      <c r="F140"/>
    </row>
    <row r="141" spans="1:6" x14ac:dyDescent="0.35">
      <c r="A141" t="s">
        <v>296</v>
      </c>
      <c r="B141" t="s">
        <v>1146</v>
      </c>
      <c r="C141" t="s">
        <v>348</v>
      </c>
      <c r="D141" t="s">
        <v>121</v>
      </c>
      <c r="F141"/>
    </row>
    <row r="142" spans="1:6" x14ac:dyDescent="0.35">
      <c r="A142" t="s">
        <v>296</v>
      </c>
      <c r="B142" t="s">
        <v>1146</v>
      </c>
      <c r="C142" t="s">
        <v>348</v>
      </c>
      <c r="D142" t="s">
        <v>385</v>
      </c>
      <c r="F142"/>
    </row>
    <row r="143" spans="1:6" x14ac:dyDescent="0.35">
      <c r="A143" t="s">
        <v>306</v>
      </c>
      <c r="B143" t="s">
        <v>150</v>
      </c>
      <c r="C143" t="s">
        <v>348</v>
      </c>
      <c r="D143" t="s">
        <v>1230</v>
      </c>
      <c r="F143"/>
    </row>
    <row r="144" spans="1:6" x14ac:dyDescent="0.35">
      <c r="A144" t="s">
        <v>306</v>
      </c>
      <c r="B144" t="s">
        <v>150</v>
      </c>
      <c r="C144" t="s">
        <v>348</v>
      </c>
      <c r="D144" t="s">
        <v>385</v>
      </c>
      <c r="F144"/>
    </row>
    <row r="145" spans="1:6" x14ac:dyDescent="0.35">
      <c r="A145" t="s">
        <v>306</v>
      </c>
      <c r="B145" t="s">
        <v>1145</v>
      </c>
      <c r="C145" t="s">
        <v>348</v>
      </c>
      <c r="D145" t="s">
        <v>385</v>
      </c>
      <c r="F145"/>
    </row>
    <row r="146" spans="1:6" x14ac:dyDescent="0.35">
      <c r="A146" t="s">
        <v>294</v>
      </c>
      <c r="B146" t="s">
        <v>36</v>
      </c>
      <c r="C146" t="s">
        <v>348</v>
      </c>
      <c r="D146" t="s">
        <v>385</v>
      </c>
      <c r="F146"/>
    </row>
    <row r="147" spans="1:6" x14ac:dyDescent="0.35">
      <c r="A147" t="s">
        <v>294</v>
      </c>
      <c r="B147" t="s">
        <v>1147</v>
      </c>
      <c r="C147" t="s">
        <v>348</v>
      </c>
      <c r="D147" t="s">
        <v>385</v>
      </c>
      <c r="F147"/>
    </row>
    <row r="148" spans="1:6" x14ac:dyDescent="0.35">
      <c r="A148" t="s">
        <v>293</v>
      </c>
      <c r="B148" t="s">
        <v>36</v>
      </c>
      <c r="C148" t="s">
        <v>348</v>
      </c>
      <c r="D148" t="s">
        <v>385</v>
      </c>
      <c r="F148"/>
    </row>
    <row r="149" spans="1:6" x14ac:dyDescent="0.35">
      <c r="A149" t="s">
        <v>293</v>
      </c>
      <c r="B149" t="s">
        <v>1147</v>
      </c>
      <c r="C149" t="s">
        <v>348</v>
      </c>
      <c r="D149" t="s">
        <v>385</v>
      </c>
      <c r="F149"/>
    </row>
    <row r="150" spans="1:6" x14ac:dyDescent="0.35">
      <c r="A150" t="s">
        <v>347</v>
      </c>
      <c r="F150"/>
    </row>
    <row r="151" spans="1:6" x14ac:dyDescent="0.35">
      <c r="F151"/>
    </row>
    <row r="152" spans="1:6" x14ac:dyDescent="0.35">
      <c r="F152"/>
    </row>
    <row r="153" spans="1:6" x14ac:dyDescent="0.35">
      <c r="F153"/>
    </row>
    <row r="154" spans="1:6" x14ac:dyDescent="0.35">
      <c r="F154"/>
    </row>
    <row r="155" spans="1:6" x14ac:dyDescent="0.35">
      <c r="F155"/>
    </row>
    <row r="156" spans="1:6" x14ac:dyDescent="0.35">
      <c r="F156"/>
    </row>
    <row r="157" spans="1:6" x14ac:dyDescent="0.35">
      <c r="F157"/>
    </row>
    <row r="158" spans="1:6" x14ac:dyDescent="0.35">
      <c r="F158"/>
    </row>
    <row r="159" spans="1:6" x14ac:dyDescent="0.35">
      <c r="F159"/>
    </row>
    <row r="160" spans="1:6" x14ac:dyDescent="0.35">
      <c r="F160"/>
    </row>
    <row r="161" spans="6:6" x14ac:dyDescent="0.35">
      <c r="F161"/>
    </row>
    <row r="162" spans="6:6" x14ac:dyDescent="0.35">
      <c r="F162"/>
    </row>
    <row r="163" spans="6:6" x14ac:dyDescent="0.35">
      <c r="F163"/>
    </row>
    <row r="164" spans="6:6" x14ac:dyDescent="0.35">
      <c r="F164"/>
    </row>
    <row r="165" spans="6:6" x14ac:dyDescent="0.35">
      <c r="F165"/>
    </row>
    <row r="166" spans="6:6" x14ac:dyDescent="0.35">
      <c r="F166"/>
    </row>
    <row r="167" spans="6:6" x14ac:dyDescent="0.35">
      <c r="F167"/>
    </row>
    <row r="168" spans="6:6" x14ac:dyDescent="0.35">
      <c r="F168"/>
    </row>
    <row r="169" spans="6:6" x14ac:dyDescent="0.35">
      <c r="F169"/>
    </row>
    <row r="170" spans="6:6" x14ac:dyDescent="0.35">
      <c r="F170"/>
    </row>
    <row r="171" spans="6:6" x14ac:dyDescent="0.35">
      <c r="F171"/>
    </row>
    <row r="172" spans="6:6" x14ac:dyDescent="0.35">
      <c r="F172"/>
    </row>
    <row r="173" spans="6:6" x14ac:dyDescent="0.35">
      <c r="F173"/>
    </row>
    <row r="174" spans="6:6" x14ac:dyDescent="0.35">
      <c r="F174"/>
    </row>
    <row r="175" spans="6:6" x14ac:dyDescent="0.35">
      <c r="F175"/>
    </row>
    <row r="176" spans="6:6" x14ac:dyDescent="0.35">
      <c r="F176"/>
    </row>
    <row r="177" spans="6:6" x14ac:dyDescent="0.35">
      <c r="F177"/>
    </row>
    <row r="178" spans="6:6" x14ac:dyDescent="0.35">
      <c r="F178"/>
    </row>
    <row r="179" spans="6:6" x14ac:dyDescent="0.35">
      <c r="F179"/>
    </row>
    <row r="180" spans="6:6" x14ac:dyDescent="0.35">
      <c r="F180"/>
    </row>
    <row r="181" spans="6:6" x14ac:dyDescent="0.35">
      <c r="F181"/>
    </row>
    <row r="182" spans="6:6" x14ac:dyDescent="0.35">
      <c r="F182"/>
    </row>
    <row r="183" spans="6:6" x14ac:dyDescent="0.35">
      <c r="F183"/>
    </row>
    <row r="184" spans="6:6" x14ac:dyDescent="0.35">
      <c r="F184"/>
    </row>
    <row r="185" spans="6:6" x14ac:dyDescent="0.35">
      <c r="F185"/>
    </row>
    <row r="186" spans="6:6" x14ac:dyDescent="0.35">
      <c r="F186"/>
    </row>
    <row r="187" spans="6:6" x14ac:dyDescent="0.35">
      <c r="F187"/>
    </row>
    <row r="188" spans="6:6" x14ac:dyDescent="0.35">
      <c r="F188"/>
    </row>
    <row r="189" spans="6:6" x14ac:dyDescent="0.35">
      <c r="F189"/>
    </row>
    <row r="190" spans="6:6" x14ac:dyDescent="0.35">
      <c r="F190"/>
    </row>
    <row r="191" spans="6:6" x14ac:dyDescent="0.35">
      <c r="F191"/>
    </row>
    <row r="192" spans="6:6" x14ac:dyDescent="0.35">
      <c r="F192"/>
    </row>
    <row r="193" spans="6:6" x14ac:dyDescent="0.35">
      <c r="F193"/>
    </row>
    <row r="194" spans="6:6" x14ac:dyDescent="0.35">
      <c r="F194"/>
    </row>
    <row r="195" spans="6:6" x14ac:dyDescent="0.35">
      <c r="F195"/>
    </row>
    <row r="196" spans="6:6" x14ac:dyDescent="0.35">
      <c r="F196"/>
    </row>
    <row r="197" spans="6:6" x14ac:dyDescent="0.35">
      <c r="F197"/>
    </row>
    <row r="198" spans="6:6" x14ac:dyDescent="0.35">
      <c r="F198"/>
    </row>
    <row r="199" spans="6:6" x14ac:dyDescent="0.35">
      <c r="F199"/>
    </row>
    <row r="200" spans="6:6" x14ac:dyDescent="0.35">
      <c r="F200"/>
    </row>
    <row r="201" spans="6:6" x14ac:dyDescent="0.35">
      <c r="F201"/>
    </row>
    <row r="202" spans="6:6" x14ac:dyDescent="0.35">
      <c r="F202"/>
    </row>
    <row r="203" spans="6:6" x14ac:dyDescent="0.35">
      <c r="F203"/>
    </row>
    <row r="204" spans="6:6" x14ac:dyDescent="0.35">
      <c r="F204"/>
    </row>
    <row r="205" spans="6:6" x14ac:dyDescent="0.35">
      <c r="F205"/>
    </row>
    <row r="206" spans="6:6" x14ac:dyDescent="0.35">
      <c r="F206"/>
    </row>
    <row r="207" spans="6:6" x14ac:dyDescent="0.35">
      <c r="F207"/>
    </row>
    <row r="208" spans="6:6" x14ac:dyDescent="0.35">
      <c r="F208"/>
    </row>
    <row r="209" spans="6:6" x14ac:dyDescent="0.35">
      <c r="F209"/>
    </row>
    <row r="210" spans="6:6" x14ac:dyDescent="0.35">
      <c r="F210"/>
    </row>
    <row r="211" spans="6:6" x14ac:dyDescent="0.35">
      <c r="F211"/>
    </row>
    <row r="212" spans="6:6" x14ac:dyDescent="0.35">
      <c r="F212"/>
    </row>
    <row r="213" spans="6:6" x14ac:dyDescent="0.35">
      <c r="F213"/>
    </row>
    <row r="214" spans="6:6" x14ac:dyDescent="0.35">
      <c r="F214"/>
    </row>
    <row r="215" spans="6:6" x14ac:dyDescent="0.35">
      <c r="F215"/>
    </row>
    <row r="216" spans="6:6" x14ac:dyDescent="0.35">
      <c r="F216"/>
    </row>
    <row r="217" spans="6:6" x14ac:dyDescent="0.35">
      <c r="F217"/>
    </row>
    <row r="218" spans="6:6" x14ac:dyDescent="0.35">
      <c r="F218"/>
    </row>
    <row r="219" spans="6:6" x14ac:dyDescent="0.35">
      <c r="F219"/>
    </row>
    <row r="220" spans="6:6" x14ac:dyDescent="0.35">
      <c r="F220"/>
    </row>
    <row r="221" spans="6:6" x14ac:dyDescent="0.35">
      <c r="F221"/>
    </row>
    <row r="222" spans="6:6" x14ac:dyDescent="0.35">
      <c r="F222"/>
    </row>
    <row r="223" spans="6:6" x14ac:dyDescent="0.35">
      <c r="F223"/>
    </row>
    <row r="224" spans="6:6" x14ac:dyDescent="0.35">
      <c r="F224"/>
    </row>
    <row r="225" spans="6:6" x14ac:dyDescent="0.35">
      <c r="F225"/>
    </row>
    <row r="226" spans="6:6" x14ac:dyDescent="0.35">
      <c r="F226"/>
    </row>
    <row r="227" spans="6:6" x14ac:dyDescent="0.35">
      <c r="F227"/>
    </row>
    <row r="228" spans="6:6" x14ac:dyDescent="0.35">
      <c r="F228"/>
    </row>
    <row r="229" spans="6:6" x14ac:dyDescent="0.35">
      <c r="F229"/>
    </row>
    <row r="230" spans="6:6" x14ac:dyDescent="0.35">
      <c r="F230"/>
    </row>
    <row r="231" spans="6:6" x14ac:dyDescent="0.35">
      <c r="F231"/>
    </row>
    <row r="232" spans="6:6" x14ac:dyDescent="0.35">
      <c r="F232"/>
    </row>
    <row r="233" spans="6:6" x14ac:dyDescent="0.35">
      <c r="F233"/>
    </row>
    <row r="234" spans="6:6" x14ac:dyDescent="0.35">
      <c r="F234"/>
    </row>
    <row r="235" spans="6:6" x14ac:dyDescent="0.35">
      <c r="F235"/>
    </row>
    <row r="236" spans="6:6" x14ac:dyDescent="0.35">
      <c r="F236"/>
    </row>
    <row r="237" spans="6:6" x14ac:dyDescent="0.35">
      <c r="F237"/>
    </row>
    <row r="238" spans="6:6" x14ac:dyDescent="0.35">
      <c r="F238"/>
    </row>
    <row r="239" spans="6:6" x14ac:dyDescent="0.35">
      <c r="F239"/>
    </row>
    <row r="240" spans="6:6" x14ac:dyDescent="0.35">
      <c r="F240"/>
    </row>
    <row r="241" spans="6:6" x14ac:dyDescent="0.35">
      <c r="F241"/>
    </row>
    <row r="242" spans="6:6" x14ac:dyDescent="0.35">
      <c r="F242"/>
    </row>
    <row r="243" spans="6:6" x14ac:dyDescent="0.35">
      <c r="F243"/>
    </row>
    <row r="244" spans="6:6" x14ac:dyDescent="0.35">
      <c r="F244"/>
    </row>
    <row r="245" spans="6:6" x14ac:dyDescent="0.35">
      <c r="F245"/>
    </row>
    <row r="246" spans="6:6" x14ac:dyDescent="0.35">
      <c r="F246"/>
    </row>
    <row r="247" spans="6:6" x14ac:dyDescent="0.35">
      <c r="F247"/>
    </row>
    <row r="248" spans="6:6" x14ac:dyDescent="0.35">
      <c r="F248"/>
    </row>
    <row r="249" spans="6:6" x14ac:dyDescent="0.35">
      <c r="F249"/>
    </row>
    <row r="250" spans="6:6" x14ac:dyDescent="0.35">
      <c r="F250"/>
    </row>
    <row r="251" spans="6:6" x14ac:dyDescent="0.35">
      <c r="F251"/>
    </row>
    <row r="252" spans="6:6" x14ac:dyDescent="0.35">
      <c r="F252"/>
    </row>
    <row r="253" spans="6:6" x14ac:dyDescent="0.35">
      <c r="F253"/>
    </row>
    <row r="254" spans="6:6" x14ac:dyDescent="0.35">
      <c r="F254"/>
    </row>
    <row r="255" spans="6:6" x14ac:dyDescent="0.35">
      <c r="F255"/>
    </row>
    <row r="256" spans="6:6" x14ac:dyDescent="0.35">
      <c r="F256"/>
    </row>
    <row r="257" spans="6:6" x14ac:dyDescent="0.35">
      <c r="F257"/>
    </row>
    <row r="258" spans="6:6" x14ac:dyDescent="0.35">
      <c r="F258"/>
    </row>
    <row r="259" spans="6:6" x14ac:dyDescent="0.35">
      <c r="F259"/>
    </row>
    <row r="260" spans="6:6" x14ac:dyDescent="0.35">
      <c r="F260"/>
    </row>
    <row r="261" spans="6:6" x14ac:dyDescent="0.35">
      <c r="F261"/>
    </row>
    <row r="262" spans="6:6" x14ac:dyDescent="0.35">
      <c r="F262"/>
    </row>
    <row r="263" spans="6:6" x14ac:dyDescent="0.35">
      <c r="F263"/>
    </row>
    <row r="264" spans="6:6" x14ac:dyDescent="0.35">
      <c r="F264"/>
    </row>
    <row r="265" spans="6:6" x14ac:dyDescent="0.35">
      <c r="F265"/>
    </row>
    <row r="266" spans="6:6" x14ac:dyDescent="0.35">
      <c r="F266"/>
    </row>
    <row r="267" spans="6:6" x14ac:dyDescent="0.35">
      <c r="F267"/>
    </row>
    <row r="268" spans="6:6" x14ac:dyDescent="0.35">
      <c r="F268"/>
    </row>
    <row r="269" spans="6:6" x14ac:dyDescent="0.35">
      <c r="F269"/>
    </row>
    <row r="270" spans="6:6" x14ac:dyDescent="0.35">
      <c r="F270"/>
    </row>
    <row r="271" spans="6:6" x14ac:dyDescent="0.35">
      <c r="F271"/>
    </row>
    <row r="272" spans="6:6" x14ac:dyDescent="0.35">
      <c r="F272"/>
    </row>
    <row r="273" spans="6:6" x14ac:dyDescent="0.35">
      <c r="F273"/>
    </row>
    <row r="274" spans="6:6" x14ac:dyDescent="0.35">
      <c r="F274"/>
    </row>
    <row r="275" spans="6:6" x14ac:dyDescent="0.35">
      <c r="F275"/>
    </row>
    <row r="276" spans="6:6" x14ac:dyDescent="0.35">
      <c r="F276"/>
    </row>
    <row r="277" spans="6:6" x14ac:dyDescent="0.35">
      <c r="F277"/>
    </row>
    <row r="278" spans="6:6" x14ac:dyDescent="0.35">
      <c r="F278"/>
    </row>
    <row r="279" spans="6:6" x14ac:dyDescent="0.35">
      <c r="F279"/>
    </row>
    <row r="280" spans="6:6" x14ac:dyDescent="0.35">
      <c r="F280"/>
    </row>
    <row r="281" spans="6:6" x14ac:dyDescent="0.35">
      <c r="F281"/>
    </row>
    <row r="282" spans="6:6" x14ac:dyDescent="0.35">
      <c r="F282"/>
    </row>
    <row r="283" spans="6:6" x14ac:dyDescent="0.35">
      <c r="F283"/>
    </row>
    <row r="284" spans="6:6" x14ac:dyDescent="0.35">
      <c r="F284"/>
    </row>
    <row r="285" spans="6:6" x14ac:dyDescent="0.35">
      <c r="F285"/>
    </row>
    <row r="286" spans="6:6" x14ac:dyDescent="0.35">
      <c r="F286"/>
    </row>
    <row r="287" spans="6:6" x14ac:dyDescent="0.35">
      <c r="F287"/>
    </row>
    <row r="288" spans="6:6" x14ac:dyDescent="0.35">
      <c r="F288"/>
    </row>
    <row r="289" spans="6:6" x14ac:dyDescent="0.35">
      <c r="F289"/>
    </row>
    <row r="290" spans="6:6" x14ac:dyDescent="0.35">
      <c r="F290"/>
    </row>
    <row r="291" spans="6:6" x14ac:dyDescent="0.35">
      <c r="F291"/>
    </row>
    <row r="292" spans="6:6" x14ac:dyDescent="0.35">
      <c r="F292"/>
    </row>
    <row r="293" spans="6:6" x14ac:dyDescent="0.35">
      <c r="F293"/>
    </row>
    <row r="294" spans="6:6" x14ac:dyDescent="0.35">
      <c r="F294"/>
    </row>
    <row r="295" spans="6:6" x14ac:dyDescent="0.35">
      <c r="F295"/>
    </row>
    <row r="296" spans="6:6" x14ac:dyDescent="0.35">
      <c r="F296"/>
    </row>
    <row r="297" spans="6:6" x14ac:dyDescent="0.35">
      <c r="F297"/>
    </row>
    <row r="298" spans="6:6" x14ac:dyDescent="0.35">
      <c r="F298"/>
    </row>
    <row r="299" spans="6:6" x14ac:dyDescent="0.35">
      <c r="F299"/>
    </row>
    <row r="300" spans="6:6" x14ac:dyDescent="0.35">
      <c r="F300"/>
    </row>
    <row r="301" spans="6:6" x14ac:dyDescent="0.35">
      <c r="F301"/>
    </row>
    <row r="302" spans="6:6" x14ac:dyDescent="0.35">
      <c r="F302"/>
    </row>
    <row r="303" spans="6:6" x14ac:dyDescent="0.35">
      <c r="F303"/>
    </row>
    <row r="304" spans="6:6" x14ac:dyDescent="0.35">
      <c r="F304"/>
    </row>
    <row r="305" spans="6:6" x14ac:dyDescent="0.35">
      <c r="F305"/>
    </row>
    <row r="306" spans="6:6" x14ac:dyDescent="0.35">
      <c r="F306"/>
    </row>
    <row r="307" spans="6:6" x14ac:dyDescent="0.35">
      <c r="F307"/>
    </row>
    <row r="308" spans="6:6" x14ac:dyDescent="0.35">
      <c r="F308"/>
    </row>
    <row r="309" spans="6:6" x14ac:dyDescent="0.35">
      <c r="F309"/>
    </row>
    <row r="310" spans="6:6" x14ac:dyDescent="0.35">
      <c r="F310"/>
    </row>
    <row r="311" spans="6:6" x14ac:dyDescent="0.35">
      <c r="F311"/>
    </row>
    <row r="312" spans="6:6" x14ac:dyDescent="0.35">
      <c r="F312"/>
    </row>
    <row r="313" spans="6:6" x14ac:dyDescent="0.35">
      <c r="F313"/>
    </row>
    <row r="314" spans="6:6" x14ac:dyDescent="0.35">
      <c r="F314"/>
    </row>
    <row r="315" spans="6:6" x14ac:dyDescent="0.35">
      <c r="F315"/>
    </row>
    <row r="316" spans="6:6" x14ac:dyDescent="0.35">
      <c r="F316"/>
    </row>
    <row r="317" spans="6:6" x14ac:dyDescent="0.35">
      <c r="F317"/>
    </row>
    <row r="318" spans="6:6" x14ac:dyDescent="0.35">
      <c r="F318"/>
    </row>
    <row r="319" spans="6:6" x14ac:dyDescent="0.35">
      <c r="F319"/>
    </row>
    <row r="320" spans="6:6" x14ac:dyDescent="0.35">
      <c r="F320"/>
    </row>
    <row r="321" spans="6:6" x14ac:dyDescent="0.35">
      <c r="F321"/>
    </row>
    <row r="322" spans="6:6" x14ac:dyDescent="0.35">
      <c r="F322"/>
    </row>
    <row r="323" spans="6:6" x14ac:dyDescent="0.35">
      <c r="F323"/>
    </row>
    <row r="324" spans="6:6" x14ac:dyDescent="0.35">
      <c r="F324"/>
    </row>
    <row r="325" spans="6:6" x14ac:dyDescent="0.35">
      <c r="F325"/>
    </row>
    <row r="326" spans="6:6" x14ac:dyDescent="0.35">
      <c r="F326"/>
    </row>
    <row r="327" spans="6:6" x14ac:dyDescent="0.35">
      <c r="F327"/>
    </row>
    <row r="328" spans="6:6" x14ac:dyDescent="0.35">
      <c r="F328"/>
    </row>
    <row r="329" spans="6:6" x14ac:dyDescent="0.35">
      <c r="F329"/>
    </row>
    <row r="330" spans="6:6" x14ac:dyDescent="0.35">
      <c r="F330"/>
    </row>
    <row r="331" spans="6:6" x14ac:dyDescent="0.35">
      <c r="F331"/>
    </row>
    <row r="332" spans="6:6" x14ac:dyDescent="0.35">
      <c r="F332"/>
    </row>
    <row r="333" spans="6:6" x14ac:dyDescent="0.35">
      <c r="F333"/>
    </row>
    <row r="334" spans="6:6" x14ac:dyDescent="0.35">
      <c r="F334"/>
    </row>
    <row r="335" spans="6:6" x14ac:dyDescent="0.35">
      <c r="F335"/>
    </row>
    <row r="336" spans="6:6" x14ac:dyDescent="0.35">
      <c r="F336"/>
    </row>
    <row r="337" spans="6:6" x14ac:dyDescent="0.35">
      <c r="F337"/>
    </row>
    <row r="338" spans="6:6" x14ac:dyDescent="0.35">
      <c r="F338"/>
    </row>
    <row r="339" spans="6:6" x14ac:dyDescent="0.35">
      <c r="F339"/>
    </row>
    <row r="340" spans="6:6" x14ac:dyDescent="0.35">
      <c r="F340"/>
    </row>
    <row r="341" spans="6:6" x14ac:dyDescent="0.35">
      <c r="F341"/>
    </row>
    <row r="342" spans="6:6" x14ac:dyDescent="0.35">
      <c r="F342"/>
    </row>
    <row r="343" spans="6:6" x14ac:dyDescent="0.35">
      <c r="F343"/>
    </row>
    <row r="344" spans="6:6" x14ac:dyDescent="0.35">
      <c r="F344"/>
    </row>
    <row r="345" spans="6:6" x14ac:dyDescent="0.35">
      <c r="F345"/>
    </row>
    <row r="346" spans="6:6" x14ac:dyDescent="0.35">
      <c r="F346"/>
    </row>
    <row r="347" spans="6:6" x14ac:dyDescent="0.35">
      <c r="F347"/>
    </row>
    <row r="348" spans="6:6" x14ac:dyDescent="0.35">
      <c r="F348"/>
    </row>
    <row r="349" spans="6:6" x14ac:dyDescent="0.35">
      <c r="F349"/>
    </row>
    <row r="350" spans="6:6" x14ac:dyDescent="0.35">
      <c r="F350"/>
    </row>
    <row r="351" spans="6:6" x14ac:dyDescent="0.35">
      <c r="F351"/>
    </row>
    <row r="352" spans="6:6" x14ac:dyDescent="0.35">
      <c r="F352"/>
    </row>
    <row r="353" spans="6:6" x14ac:dyDescent="0.35">
      <c r="F353"/>
    </row>
    <row r="354" spans="6:6" x14ac:dyDescent="0.35">
      <c r="F354"/>
    </row>
    <row r="355" spans="6:6" x14ac:dyDescent="0.35">
      <c r="F355"/>
    </row>
    <row r="356" spans="6:6" x14ac:dyDescent="0.35">
      <c r="F356"/>
    </row>
    <row r="357" spans="6:6" x14ac:dyDescent="0.35">
      <c r="F357"/>
    </row>
    <row r="358" spans="6:6" x14ac:dyDescent="0.35">
      <c r="F358"/>
    </row>
    <row r="359" spans="6:6" x14ac:dyDescent="0.35">
      <c r="F359"/>
    </row>
    <row r="360" spans="6:6" x14ac:dyDescent="0.35">
      <c r="F360"/>
    </row>
    <row r="361" spans="6:6" x14ac:dyDescent="0.35">
      <c r="F361"/>
    </row>
    <row r="362" spans="6:6" x14ac:dyDescent="0.35">
      <c r="F362"/>
    </row>
    <row r="363" spans="6:6" x14ac:dyDescent="0.35">
      <c r="F363"/>
    </row>
    <row r="364" spans="6:6" x14ac:dyDescent="0.35">
      <c r="F364"/>
    </row>
    <row r="365" spans="6:6" x14ac:dyDescent="0.35">
      <c r="F365"/>
    </row>
    <row r="366" spans="6:6" x14ac:dyDescent="0.35">
      <c r="F366"/>
    </row>
    <row r="367" spans="6:6" x14ac:dyDescent="0.35">
      <c r="F367"/>
    </row>
    <row r="368" spans="6:6" x14ac:dyDescent="0.35">
      <c r="F368"/>
    </row>
    <row r="369" spans="6:6" x14ac:dyDescent="0.35">
      <c r="F369"/>
    </row>
    <row r="370" spans="6:6" x14ac:dyDescent="0.35">
      <c r="F370"/>
    </row>
    <row r="371" spans="6:6" x14ac:dyDescent="0.35">
      <c r="F371"/>
    </row>
    <row r="372" spans="6:6" x14ac:dyDescent="0.35">
      <c r="F372"/>
    </row>
    <row r="373" spans="6:6" x14ac:dyDescent="0.35">
      <c r="F373"/>
    </row>
    <row r="374" spans="6:6" x14ac:dyDescent="0.35">
      <c r="F374"/>
    </row>
    <row r="375" spans="6:6" x14ac:dyDescent="0.35">
      <c r="F375"/>
    </row>
    <row r="376" spans="6:6" x14ac:dyDescent="0.35">
      <c r="F376"/>
    </row>
    <row r="377" spans="6:6" x14ac:dyDescent="0.35">
      <c r="F377"/>
    </row>
    <row r="378" spans="6:6" x14ac:dyDescent="0.35">
      <c r="F378"/>
    </row>
    <row r="379" spans="6:6" x14ac:dyDescent="0.35">
      <c r="F379"/>
    </row>
    <row r="380" spans="6:6" x14ac:dyDescent="0.35">
      <c r="F380"/>
    </row>
    <row r="381" spans="6:6" x14ac:dyDescent="0.35">
      <c r="F381"/>
    </row>
    <row r="382" spans="6:6" x14ac:dyDescent="0.35">
      <c r="F382"/>
    </row>
    <row r="383" spans="6:6" x14ac:dyDescent="0.35">
      <c r="F383"/>
    </row>
    <row r="384" spans="6:6" x14ac:dyDescent="0.35">
      <c r="F384"/>
    </row>
    <row r="385" spans="6:6" x14ac:dyDescent="0.35">
      <c r="F385"/>
    </row>
    <row r="386" spans="6:6" x14ac:dyDescent="0.35">
      <c r="F386"/>
    </row>
    <row r="387" spans="6:6" x14ac:dyDescent="0.35">
      <c r="F387"/>
    </row>
    <row r="388" spans="6:6" x14ac:dyDescent="0.35">
      <c r="F388"/>
    </row>
    <row r="389" spans="6:6" x14ac:dyDescent="0.35">
      <c r="F389"/>
    </row>
    <row r="390" spans="6:6" x14ac:dyDescent="0.35">
      <c r="F390"/>
    </row>
    <row r="391" spans="6:6" x14ac:dyDescent="0.35">
      <c r="F391"/>
    </row>
    <row r="392" spans="6:6" x14ac:dyDescent="0.35">
      <c r="F392"/>
    </row>
    <row r="393" spans="6:6" x14ac:dyDescent="0.35">
      <c r="F393"/>
    </row>
    <row r="394" spans="6:6" x14ac:dyDescent="0.35">
      <c r="F394"/>
    </row>
    <row r="395" spans="6:6" x14ac:dyDescent="0.35">
      <c r="F395"/>
    </row>
    <row r="396" spans="6:6" x14ac:dyDescent="0.35">
      <c r="F396"/>
    </row>
    <row r="397" spans="6:6" x14ac:dyDescent="0.35">
      <c r="F397"/>
    </row>
    <row r="398" spans="6:6" x14ac:dyDescent="0.35">
      <c r="F398"/>
    </row>
    <row r="399" spans="6:6" x14ac:dyDescent="0.35">
      <c r="F399"/>
    </row>
    <row r="400" spans="6:6" x14ac:dyDescent="0.35">
      <c r="F400"/>
    </row>
    <row r="401" spans="6:6" x14ac:dyDescent="0.35">
      <c r="F401"/>
    </row>
    <row r="402" spans="6:6" x14ac:dyDescent="0.35">
      <c r="F402"/>
    </row>
    <row r="403" spans="6:6" x14ac:dyDescent="0.35">
      <c r="F403"/>
    </row>
    <row r="404" spans="6:6" x14ac:dyDescent="0.35">
      <c r="F404"/>
    </row>
    <row r="405" spans="6:6" x14ac:dyDescent="0.35">
      <c r="F405"/>
    </row>
    <row r="406" spans="6:6" x14ac:dyDescent="0.35">
      <c r="F406"/>
    </row>
    <row r="407" spans="6:6" x14ac:dyDescent="0.35">
      <c r="F407"/>
    </row>
    <row r="408" spans="6:6" x14ac:dyDescent="0.35">
      <c r="F408"/>
    </row>
    <row r="409" spans="6:6" x14ac:dyDescent="0.35">
      <c r="F409"/>
    </row>
    <row r="410" spans="6:6" x14ac:dyDescent="0.35">
      <c r="F410"/>
    </row>
    <row r="411" spans="6:6" x14ac:dyDescent="0.35">
      <c r="F411"/>
    </row>
    <row r="412" spans="6:6" x14ac:dyDescent="0.35">
      <c r="F412"/>
    </row>
    <row r="413" spans="6:6" x14ac:dyDescent="0.35">
      <c r="F413"/>
    </row>
    <row r="414" spans="6:6" x14ac:dyDescent="0.35">
      <c r="F414"/>
    </row>
    <row r="415" spans="6:6" x14ac:dyDescent="0.35">
      <c r="F415"/>
    </row>
    <row r="416" spans="6:6" x14ac:dyDescent="0.35">
      <c r="F416"/>
    </row>
    <row r="417" spans="6:6" x14ac:dyDescent="0.35">
      <c r="F417"/>
    </row>
    <row r="418" spans="6:6" x14ac:dyDescent="0.35">
      <c r="F418"/>
    </row>
    <row r="419" spans="6:6" x14ac:dyDescent="0.35">
      <c r="F419"/>
    </row>
    <row r="420" spans="6:6" x14ac:dyDescent="0.35">
      <c r="F420"/>
    </row>
    <row r="421" spans="6:6" x14ac:dyDescent="0.35">
      <c r="F421"/>
    </row>
    <row r="422" spans="6:6" x14ac:dyDescent="0.35">
      <c r="F422"/>
    </row>
    <row r="423" spans="6:6" x14ac:dyDescent="0.35">
      <c r="F423"/>
    </row>
    <row r="424" spans="6:6" x14ac:dyDescent="0.35">
      <c r="F424"/>
    </row>
    <row r="425" spans="6:6" x14ac:dyDescent="0.35">
      <c r="F425"/>
    </row>
    <row r="426" spans="6:6" x14ac:dyDescent="0.35">
      <c r="F426"/>
    </row>
    <row r="427" spans="6:6" x14ac:dyDescent="0.35">
      <c r="F427"/>
    </row>
    <row r="428" spans="6:6" x14ac:dyDescent="0.35">
      <c r="F428"/>
    </row>
    <row r="429" spans="6:6" x14ac:dyDescent="0.35">
      <c r="F429"/>
    </row>
    <row r="430" spans="6:6" x14ac:dyDescent="0.35">
      <c r="F430"/>
    </row>
    <row r="431" spans="6:6" x14ac:dyDescent="0.35">
      <c r="F431"/>
    </row>
    <row r="432" spans="6:6" x14ac:dyDescent="0.35">
      <c r="F432"/>
    </row>
    <row r="433" spans="6:6" x14ac:dyDescent="0.35">
      <c r="F433"/>
    </row>
    <row r="434" spans="6:6" x14ac:dyDescent="0.35">
      <c r="F434"/>
    </row>
    <row r="435" spans="6:6" x14ac:dyDescent="0.35">
      <c r="F435"/>
    </row>
    <row r="436" spans="6:6" x14ac:dyDescent="0.35">
      <c r="F436"/>
    </row>
    <row r="437" spans="6:6" x14ac:dyDescent="0.35">
      <c r="F437"/>
    </row>
    <row r="438" spans="6:6" x14ac:dyDescent="0.35">
      <c r="F438"/>
    </row>
    <row r="439" spans="6:6" x14ac:dyDescent="0.35">
      <c r="F439"/>
    </row>
    <row r="440" spans="6:6" x14ac:dyDescent="0.35">
      <c r="F440"/>
    </row>
    <row r="441" spans="6:6" x14ac:dyDescent="0.35">
      <c r="F441"/>
    </row>
    <row r="442" spans="6:6" x14ac:dyDescent="0.35">
      <c r="F442"/>
    </row>
    <row r="443" spans="6:6" x14ac:dyDescent="0.35">
      <c r="F443"/>
    </row>
    <row r="444" spans="6:6" x14ac:dyDescent="0.35">
      <c r="F444"/>
    </row>
    <row r="445" spans="6:6" x14ac:dyDescent="0.35">
      <c r="F445"/>
    </row>
    <row r="446" spans="6:6" x14ac:dyDescent="0.35">
      <c r="F446"/>
    </row>
    <row r="447" spans="6:6" x14ac:dyDescent="0.35">
      <c r="F447"/>
    </row>
    <row r="448" spans="6:6" x14ac:dyDescent="0.35">
      <c r="F448"/>
    </row>
    <row r="449" spans="6:6" x14ac:dyDescent="0.35">
      <c r="F449"/>
    </row>
    <row r="450" spans="6:6" x14ac:dyDescent="0.35">
      <c r="F450"/>
    </row>
    <row r="451" spans="6:6" x14ac:dyDescent="0.35">
      <c r="F451"/>
    </row>
    <row r="452" spans="6:6" x14ac:dyDescent="0.35">
      <c r="F452"/>
    </row>
    <row r="453" spans="6:6" x14ac:dyDescent="0.35">
      <c r="F453"/>
    </row>
    <row r="454" spans="6:6" x14ac:dyDescent="0.35">
      <c r="F454"/>
    </row>
    <row r="455" spans="6:6" x14ac:dyDescent="0.35">
      <c r="F455"/>
    </row>
    <row r="456" spans="6:6" x14ac:dyDescent="0.35">
      <c r="F456"/>
    </row>
    <row r="457" spans="6:6" x14ac:dyDescent="0.35">
      <c r="F457"/>
    </row>
    <row r="458" spans="6:6" x14ac:dyDescent="0.35">
      <c r="F458"/>
    </row>
    <row r="459" spans="6:6" x14ac:dyDescent="0.35">
      <c r="F459"/>
    </row>
    <row r="460" spans="6:6" x14ac:dyDescent="0.35">
      <c r="F460"/>
    </row>
    <row r="461" spans="6:6" x14ac:dyDescent="0.35">
      <c r="F461"/>
    </row>
    <row r="462" spans="6:6" x14ac:dyDescent="0.35">
      <c r="F462"/>
    </row>
    <row r="463" spans="6:6" x14ac:dyDescent="0.35">
      <c r="F463"/>
    </row>
    <row r="464" spans="6:6" x14ac:dyDescent="0.35">
      <c r="F464"/>
    </row>
    <row r="465" spans="6:6" x14ac:dyDescent="0.35">
      <c r="F465"/>
    </row>
    <row r="466" spans="6:6" x14ac:dyDescent="0.35">
      <c r="F466"/>
    </row>
    <row r="467" spans="6:6" x14ac:dyDescent="0.35">
      <c r="F467"/>
    </row>
    <row r="468" spans="6:6" x14ac:dyDescent="0.35">
      <c r="F468"/>
    </row>
    <row r="469" spans="6:6" x14ac:dyDescent="0.35">
      <c r="F469"/>
    </row>
    <row r="470" spans="6:6" x14ac:dyDescent="0.35">
      <c r="F470"/>
    </row>
    <row r="471" spans="6:6" x14ac:dyDescent="0.35">
      <c r="F471"/>
    </row>
    <row r="472" spans="6:6" x14ac:dyDescent="0.35">
      <c r="F472"/>
    </row>
    <row r="473" spans="6:6" x14ac:dyDescent="0.35">
      <c r="F473"/>
    </row>
    <row r="474" spans="6:6" x14ac:dyDescent="0.35">
      <c r="F474"/>
    </row>
    <row r="475" spans="6:6" x14ac:dyDescent="0.35">
      <c r="F475"/>
    </row>
    <row r="476" spans="6:6" x14ac:dyDescent="0.35">
      <c r="F476"/>
    </row>
    <row r="477" spans="6:6" x14ac:dyDescent="0.35">
      <c r="F477"/>
    </row>
    <row r="478" spans="6:6" x14ac:dyDescent="0.35">
      <c r="F478"/>
    </row>
    <row r="479" spans="6:6" x14ac:dyDescent="0.35">
      <c r="F479"/>
    </row>
    <row r="480" spans="6:6" x14ac:dyDescent="0.35">
      <c r="F480"/>
    </row>
    <row r="481" spans="6:6" x14ac:dyDescent="0.35">
      <c r="F481"/>
    </row>
    <row r="482" spans="6:6" x14ac:dyDescent="0.35">
      <c r="F482"/>
    </row>
    <row r="483" spans="6:6" x14ac:dyDescent="0.35">
      <c r="F483"/>
    </row>
    <row r="484" spans="6:6" x14ac:dyDescent="0.35">
      <c r="F484"/>
    </row>
    <row r="485" spans="6:6" x14ac:dyDescent="0.35">
      <c r="F485"/>
    </row>
    <row r="486" spans="6:6" x14ac:dyDescent="0.35">
      <c r="F486"/>
    </row>
    <row r="487" spans="6:6" x14ac:dyDescent="0.35">
      <c r="F487"/>
    </row>
    <row r="488" spans="6:6" x14ac:dyDescent="0.35">
      <c r="F488"/>
    </row>
    <row r="489" spans="6:6" x14ac:dyDescent="0.35">
      <c r="F489"/>
    </row>
    <row r="490" spans="6:6" x14ac:dyDescent="0.35">
      <c r="F490"/>
    </row>
    <row r="491" spans="6:6" x14ac:dyDescent="0.35">
      <c r="F491"/>
    </row>
    <row r="492" spans="6:6" x14ac:dyDescent="0.35">
      <c r="F492"/>
    </row>
    <row r="493" spans="6:6" x14ac:dyDescent="0.35">
      <c r="F493"/>
    </row>
    <row r="494" spans="6:6" x14ac:dyDescent="0.35">
      <c r="F494"/>
    </row>
    <row r="495" spans="6:6" x14ac:dyDescent="0.35">
      <c r="F495"/>
    </row>
    <row r="496" spans="6:6" x14ac:dyDescent="0.35">
      <c r="F496"/>
    </row>
    <row r="497" spans="6:6" x14ac:dyDescent="0.35">
      <c r="F497"/>
    </row>
    <row r="498" spans="6:6" x14ac:dyDescent="0.35">
      <c r="F498"/>
    </row>
    <row r="499" spans="6:6" x14ac:dyDescent="0.35">
      <c r="F499"/>
    </row>
    <row r="500" spans="6:6" x14ac:dyDescent="0.35">
      <c r="F500"/>
    </row>
    <row r="501" spans="6:6" x14ac:dyDescent="0.35">
      <c r="F501"/>
    </row>
    <row r="502" spans="6:6" x14ac:dyDescent="0.35">
      <c r="F502"/>
    </row>
    <row r="503" spans="6:6" x14ac:dyDescent="0.35">
      <c r="F503"/>
    </row>
    <row r="504" spans="6:6" x14ac:dyDescent="0.35">
      <c r="F504"/>
    </row>
    <row r="505" spans="6:6" x14ac:dyDescent="0.35">
      <c r="F505"/>
    </row>
    <row r="506" spans="6:6" x14ac:dyDescent="0.35">
      <c r="F506"/>
    </row>
    <row r="507" spans="6:6" x14ac:dyDescent="0.35">
      <c r="F507"/>
    </row>
    <row r="508" spans="6:6" x14ac:dyDescent="0.35">
      <c r="F508"/>
    </row>
    <row r="509" spans="6:6" x14ac:dyDescent="0.35">
      <c r="F509"/>
    </row>
    <row r="510" spans="6:6" x14ac:dyDescent="0.35">
      <c r="F510"/>
    </row>
    <row r="511" spans="6:6" x14ac:dyDescent="0.35">
      <c r="F511"/>
    </row>
    <row r="512" spans="6:6" x14ac:dyDescent="0.35">
      <c r="F512"/>
    </row>
    <row r="513" spans="6:6" x14ac:dyDescent="0.35">
      <c r="F513"/>
    </row>
    <row r="514" spans="6:6" x14ac:dyDescent="0.35">
      <c r="F514"/>
    </row>
    <row r="515" spans="6:6" x14ac:dyDescent="0.35">
      <c r="F515"/>
    </row>
    <row r="516" spans="6:6" x14ac:dyDescent="0.35">
      <c r="F516"/>
    </row>
    <row r="517" spans="6:6" x14ac:dyDescent="0.35">
      <c r="F517"/>
    </row>
    <row r="518" spans="6:6" x14ac:dyDescent="0.35">
      <c r="F518"/>
    </row>
    <row r="519" spans="6:6" x14ac:dyDescent="0.35">
      <c r="F519"/>
    </row>
    <row r="520" spans="6:6" x14ac:dyDescent="0.35">
      <c r="F520"/>
    </row>
    <row r="521" spans="6:6" x14ac:dyDescent="0.35">
      <c r="F521"/>
    </row>
    <row r="522" spans="6:6" x14ac:dyDescent="0.35">
      <c r="F522"/>
    </row>
    <row r="523" spans="6:6" x14ac:dyDescent="0.35">
      <c r="F523"/>
    </row>
    <row r="524" spans="6:6" x14ac:dyDescent="0.35">
      <c r="F524"/>
    </row>
    <row r="525" spans="6:6" x14ac:dyDescent="0.35">
      <c r="F525"/>
    </row>
    <row r="526" spans="6:6" x14ac:dyDescent="0.35">
      <c r="F526"/>
    </row>
    <row r="527" spans="6:6" x14ac:dyDescent="0.35">
      <c r="F527"/>
    </row>
    <row r="528" spans="6:6" x14ac:dyDescent="0.35">
      <c r="F528"/>
    </row>
    <row r="529" spans="6:6" x14ac:dyDescent="0.35">
      <c r="F529"/>
    </row>
    <row r="530" spans="6:6" x14ac:dyDescent="0.35">
      <c r="F530"/>
    </row>
    <row r="531" spans="6:6" x14ac:dyDescent="0.35">
      <c r="F531"/>
    </row>
    <row r="532" spans="6:6" x14ac:dyDescent="0.35">
      <c r="F532"/>
    </row>
    <row r="533" spans="6:6" x14ac:dyDescent="0.35">
      <c r="F533"/>
    </row>
    <row r="534" spans="6:6" x14ac:dyDescent="0.35">
      <c r="F534"/>
    </row>
    <row r="535" spans="6:6" x14ac:dyDescent="0.35">
      <c r="F535"/>
    </row>
    <row r="536" spans="6:6" x14ac:dyDescent="0.35">
      <c r="F536"/>
    </row>
    <row r="537" spans="6:6" x14ac:dyDescent="0.35">
      <c r="F537"/>
    </row>
    <row r="538" spans="6:6" x14ac:dyDescent="0.35">
      <c r="F538"/>
    </row>
    <row r="539" spans="6:6" x14ac:dyDescent="0.35">
      <c r="F539"/>
    </row>
    <row r="540" spans="6:6" x14ac:dyDescent="0.35">
      <c r="F540"/>
    </row>
    <row r="541" spans="6:6" x14ac:dyDescent="0.35">
      <c r="F541"/>
    </row>
    <row r="542" spans="6:6" x14ac:dyDescent="0.35">
      <c r="F542"/>
    </row>
    <row r="543" spans="6:6" x14ac:dyDescent="0.35">
      <c r="F543"/>
    </row>
    <row r="544" spans="6:6" x14ac:dyDescent="0.35">
      <c r="F544"/>
    </row>
    <row r="545" spans="6:6" x14ac:dyDescent="0.35">
      <c r="F545"/>
    </row>
    <row r="546" spans="6:6" x14ac:dyDescent="0.35">
      <c r="F546"/>
    </row>
    <row r="547" spans="6:6" x14ac:dyDescent="0.35">
      <c r="F547"/>
    </row>
    <row r="548" spans="6:6" x14ac:dyDescent="0.35">
      <c r="F548"/>
    </row>
    <row r="549" spans="6:6" x14ac:dyDescent="0.35">
      <c r="F549"/>
    </row>
    <row r="550" spans="6:6" x14ac:dyDescent="0.35">
      <c r="F550"/>
    </row>
    <row r="551" spans="6:6" x14ac:dyDescent="0.35">
      <c r="F551"/>
    </row>
    <row r="552" spans="6:6" x14ac:dyDescent="0.35">
      <c r="F552"/>
    </row>
    <row r="553" spans="6:6" x14ac:dyDescent="0.35">
      <c r="F553"/>
    </row>
    <row r="554" spans="6:6" x14ac:dyDescent="0.35">
      <c r="F554"/>
    </row>
    <row r="555" spans="6:6" x14ac:dyDescent="0.35">
      <c r="F555"/>
    </row>
    <row r="556" spans="6:6" x14ac:dyDescent="0.35">
      <c r="F556"/>
    </row>
    <row r="557" spans="6:6" x14ac:dyDescent="0.35">
      <c r="F557"/>
    </row>
    <row r="558" spans="6:6" x14ac:dyDescent="0.35">
      <c r="F558"/>
    </row>
    <row r="559" spans="6:6" x14ac:dyDescent="0.35">
      <c r="F559"/>
    </row>
    <row r="560" spans="6:6" x14ac:dyDescent="0.35">
      <c r="F560"/>
    </row>
    <row r="561" spans="6:6" x14ac:dyDescent="0.35">
      <c r="F561"/>
    </row>
    <row r="562" spans="6:6" x14ac:dyDescent="0.35">
      <c r="F562"/>
    </row>
    <row r="563" spans="6:6" x14ac:dyDescent="0.35">
      <c r="F563"/>
    </row>
    <row r="564" spans="6:6" x14ac:dyDescent="0.35">
      <c r="F564"/>
    </row>
    <row r="565" spans="6:6" x14ac:dyDescent="0.35">
      <c r="F565"/>
    </row>
    <row r="566" spans="6:6" x14ac:dyDescent="0.35">
      <c r="F566"/>
    </row>
    <row r="567" spans="6:6" x14ac:dyDescent="0.35">
      <c r="F567"/>
    </row>
    <row r="568" spans="6:6" x14ac:dyDescent="0.35">
      <c r="F568"/>
    </row>
    <row r="569" spans="6:6" x14ac:dyDescent="0.35">
      <c r="F569"/>
    </row>
    <row r="570" spans="6:6" x14ac:dyDescent="0.35">
      <c r="F570"/>
    </row>
    <row r="571" spans="6:6" x14ac:dyDescent="0.35">
      <c r="F571"/>
    </row>
    <row r="572" spans="6:6" x14ac:dyDescent="0.35">
      <c r="F572"/>
    </row>
    <row r="573" spans="6:6" x14ac:dyDescent="0.35">
      <c r="F573"/>
    </row>
    <row r="574" spans="6:6" x14ac:dyDescent="0.35">
      <c r="F574"/>
    </row>
    <row r="575" spans="6:6" x14ac:dyDescent="0.35">
      <c r="F575"/>
    </row>
    <row r="576" spans="6:6" x14ac:dyDescent="0.35">
      <c r="F576"/>
    </row>
    <row r="577" spans="6:6" x14ac:dyDescent="0.35">
      <c r="F577"/>
    </row>
    <row r="578" spans="6:6" x14ac:dyDescent="0.35">
      <c r="F578"/>
    </row>
    <row r="579" spans="6:6" x14ac:dyDescent="0.35">
      <c r="F579"/>
    </row>
    <row r="580" spans="6:6" x14ac:dyDescent="0.35">
      <c r="F580"/>
    </row>
    <row r="581" spans="6:6" x14ac:dyDescent="0.35">
      <c r="F581"/>
    </row>
    <row r="582" spans="6:6" x14ac:dyDescent="0.35">
      <c r="F582"/>
    </row>
    <row r="583" spans="6:6" x14ac:dyDescent="0.35">
      <c r="F583"/>
    </row>
    <row r="584" spans="6:6" x14ac:dyDescent="0.35">
      <c r="F584"/>
    </row>
    <row r="585" spans="6:6" x14ac:dyDescent="0.35">
      <c r="F585"/>
    </row>
    <row r="586" spans="6:6" x14ac:dyDescent="0.35">
      <c r="F586"/>
    </row>
    <row r="587" spans="6:6" x14ac:dyDescent="0.35">
      <c r="F587"/>
    </row>
    <row r="588" spans="6:6" x14ac:dyDescent="0.35">
      <c r="F588"/>
    </row>
    <row r="589" spans="6:6" x14ac:dyDescent="0.35">
      <c r="F589"/>
    </row>
    <row r="590" spans="6:6" x14ac:dyDescent="0.35">
      <c r="F590"/>
    </row>
    <row r="591" spans="6:6" x14ac:dyDescent="0.35">
      <c r="F591"/>
    </row>
    <row r="592" spans="6:6" x14ac:dyDescent="0.35">
      <c r="F592"/>
    </row>
    <row r="593" spans="6:6" x14ac:dyDescent="0.35">
      <c r="F593"/>
    </row>
    <row r="594" spans="6:6" x14ac:dyDescent="0.35">
      <c r="F594"/>
    </row>
    <row r="595" spans="6:6" x14ac:dyDescent="0.35">
      <c r="F595"/>
    </row>
    <row r="596" spans="6:6" x14ac:dyDescent="0.35">
      <c r="F596"/>
    </row>
    <row r="597" spans="6:6" x14ac:dyDescent="0.35">
      <c r="F597"/>
    </row>
    <row r="598" spans="6:6" x14ac:dyDescent="0.35">
      <c r="F598"/>
    </row>
    <row r="599" spans="6:6" x14ac:dyDescent="0.35">
      <c r="F599"/>
    </row>
    <row r="600" spans="6:6" x14ac:dyDescent="0.35">
      <c r="F600"/>
    </row>
    <row r="601" spans="6:6" x14ac:dyDescent="0.35">
      <c r="F601"/>
    </row>
    <row r="602" spans="6:6" x14ac:dyDescent="0.35">
      <c r="F602"/>
    </row>
    <row r="603" spans="6:6" x14ac:dyDescent="0.35">
      <c r="F603"/>
    </row>
    <row r="604" spans="6:6" x14ac:dyDescent="0.35">
      <c r="F604"/>
    </row>
    <row r="605" spans="6:6" x14ac:dyDescent="0.35">
      <c r="F605"/>
    </row>
    <row r="606" spans="6:6" x14ac:dyDescent="0.35">
      <c r="F606"/>
    </row>
    <row r="607" spans="6:6" x14ac:dyDescent="0.35">
      <c r="F607"/>
    </row>
    <row r="608" spans="6:6" x14ac:dyDescent="0.35">
      <c r="F608"/>
    </row>
    <row r="609" spans="6:6" x14ac:dyDescent="0.35">
      <c r="F609"/>
    </row>
    <row r="610" spans="6:6" x14ac:dyDescent="0.35">
      <c r="F610"/>
    </row>
    <row r="611" spans="6:6" x14ac:dyDescent="0.35">
      <c r="F611"/>
    </row>
    <row r="612" spans="6:6" x14ac:dyDescent="0.35">
      <c r="F612"/>
    </row>
    <row r="613" spans="6:6" x14ac:dyDescent="0.35">
      <c r="F613"/>
    </row>
    <row r="614" spans="6:6" x14ac:dyDescent="0.35">
      <c r="F614"/>
    </row>
    <row r="615" spans="6:6" x14ac:dyDescent="0.35">
      <c r="F615"/>
    </row>
    <row r="616" spans="6:6" x14ac:dyDescent="0.35">
      <c r="F616"/>
    </row>
    <row r="617" spans="6:6" x14ac:dyDescent="0.35">
      <c r="F617"/>
    </row>
    <row r="618" spans="6:6" x14ac:dyDescent="0.35">
      <c r="F618"/>
    </row>
    <row r="619" spans="6:6" x14ac:dyDescent="0.35">
      <c r="F619"/>
    </row>
    <row r="620" spans="6:6" x14ac:dyDescent="0.35">
      <c r="F620"/>
    </row>
    <row r="621" spans="6:6" x14ac:dyDescent="0.35">
      <c r="F621"/>
    </row>
    <row r="622" spans="6:6" x14ac:dyDescent="0.35">
      <c r="F622"/>
    </row>
    <row r="623" spans="6:6" x14ac:dyDescent="0.35">
      <c r="F623"/>
    </row>
    <row r="624" spans="6:6" x14ac:dyDescent="0.35">
      <c r="F624"/>
    </row>
    <row r="625" spans="6:6" x14ac:dyDescent="0.35">
      <c r="F625"/>
    </row>
    <row r="626" spans="6:6" x14ac:dyDescent="0.35">
      <c r="F626"/>
    </row>
    <row r="627" spans="6:6" x14ac:dyDescent="0.35">
      <c r="F627"/>
    </row>
    <row r="628" spans="6:6" x14ac:dyDescent="0.35">
      <c r="F628"/>
    </row>
    <row r="629" spans="6:6" x14ac:dyDescent="0.35">
      <c r="F629"/>
    </row>
    <row r="630" spans="6:6" x14ac:dyDescent="0.35">
      <c r="F630"/>
    </row>
    <row r="631" spans="6:6" x14ac:dyDescent="0.35">
      <c r="F631"/>
    </row>
    <row r="632" spans="6:6" x14ac:dyDescent="0.35">
      <c r="F632"/>
    </row>
    <row r="633" spans="6:6" x14ac:dyDescent="0.35">
      <c r="F633"/>
    </row>
    <row r="634" spans="6:6" x14ac:dyDescent="0.35">
      <c r="F634"/>
    </row>
    <row r="635" spans="6:6" x14ac:dyDescent="0.35">
      <c r="F635"/>
    </row>
    <row r="636" spans="6:6" x14ac:dyDescent="0.35">
      <c r="F636"/>
    </row>
    <row r="637" spans="6:6" x14ac:dyDescent="0.35">
      <c r="F637"/>
    </row>
    <row r="638" spans="6:6" x14ac:dyDescent="0.35">
      <c r="F638"/>
    </row>
    <row r="639" spans="6:6" x14ac:dyDescent="0.35">
      <c r="F639"/>
    </row>
    <row r="640" spans="6:6" x14ac:dyDescent="0.35">
      <c r="F640"/>
    </row>
    <row r="641" spans="6:6" x14ac:dyDescent="0.35">
      <c r="F641"/>
    </row>
    <row r="642" spans="6:6" x14ac:dyDescent="0.35">
      <c r="F642"/>
    </row>
    <row r="643" spans="6:6" x14ac:dyDescent="0.35">
      <c r="F643"/>
    </row>
    <row r="644" spans="6:6" x14ac:dyDescent="0.35">
      <c r="F644"/>
    </row>
    <row r="645" spans="6:6" x14ac:dyDescent="0.35">
      <c r="F645"/>
    </row>
    <row r="646" spans="6:6" x14ac:dyDescent="0.35">
      <c r="F646"/>
    </row>
    <row r="647" spans="6:6" x14ac:dyDescent="0.35">
      <c r="F647"/>
    </row>
    <row r="648" spans="6:6" x14ac:dyDescent="0.35">
      <c r="F648"/>
    </row>
    <row r="649" spans="6:6" x14ac:dyDescent="0.35">
      <c r="F649"/>
    </row>
    <row r="650" spans="6:6" x14ac:dyDescent="0.35">
      <c r="F650"/>
    </row>
    <row r="651" spans="6:6" x14ac:dyDescent="0.35">
      <c r="F651"/>
    </row>
    <row r="652" spans="6:6" x14ac:dyDescent="0.35">
      <c r="F652"/>
    </row>
    <row r="653" spans="6:6" x14ac:dyDescent="0.35">
      <c r="F653"/>
    </row>
    <row r="654" spans="6:6" x14ac:dyDescent="0.35">
      <c r="F654"/>
    </row>
    <row r="655" spans="6:6" x14ac:dyDescent="0.35">
      <c r="F655"/>
    </row>
    <row r="656" spans="6:6" x14ac:dyDescent="0.35">
      <c r="F656"/>
    </row>
    <row r="657" spans="6:6" x14ac:dyDescent="0.35">
      <c r="F657"/>
    </row>
    <row r="658" spans="6:6" x14ac:dyDescent="0.35">
      <c r="F658"/>
    </row>
    <row r="659" spans="6:6" x14ac:dyDescent="0.35">
      <c r="F659"/>
    </row>
    <row r="660" spans="6:6" x14ac:dyDescent="0.35">
      <c r="F660"/>
    </row>
    <row r="661" spans="6:6" x14ac:dyDescent="0.35">
      <c r="F661"/>
    </row>
    <row r="662" spans="6:6" x14ac:dyDescent="0.35">
      <c r="F662"/>
    </row>
    <row r="663" spans="6:6" x14ac:dyDescent="0.35">
      <c r="F663"/>
    </row>
    <row r="664" spans="6:6" x14ac:dyDescent="0.35">
      <c r="F664"/>
    </row>
    <row r="665" spans="6:6" x14ac:dyDescent="0.35">
      <c r="F665"/>
    </row>
    <row r="666" spans="6:6" x14ac:dyDescent="0.35">
      <c r="F666"/>
    </row>
    <row r="667" spans="6:6" x14ac:dyDescent="0.35">
      <c r="F667"/>
    </row>
    <row r="668" spans="6:6" x14ac:dyDescent="0.35">
      <c r="F668"/>
    </row>
    <row r="669" spans="6:6" x14ac:dyDescent="0.35">
      <c r="F669"/>
    </row>
    <row r="670" spans="6:6" x14ac:dyDescent="0.35">
      <c r="F670"/>
    </row>
    <row r="671" spans="6:6" x14ac:dyDescent="0.35">
      <c r="F671"/>
    </row>
    <row r="672" spans="6:6" x14ac:dyDescent="0.35">
      <c r="F672"/>
    </row>
    <row r="673" spans="6:6" x14ac:dyDescent="0.35">
      <c r="F673"/>
    </row>
    <row r="674" spans="6:6" x14ac:dyDescent="0.35">
      <c r="F674"/>
    </row>
    <row r="675" spans="6:6" x14ac:dyDescent="0.35">
      <c r="F675"/>
    </row>
    <row r="676" spans="6:6" x14ac:dyDescent="0.35">
      <c r="F676"/>
    </row>
    <row r="677" spans="6:6" x14ac:dyDescent="0.35">
      <c r="F677"/>
    </row>
    <row r="678" spans="6:6" x14ac:dyDescent="0.35">
      <c r="F678"/>
    </row>
    <row r="679" spans="6:6" x14ac:dyDescent="0.35">
      <c r="F679"/>
    </row>
    <row r="680" spans="6:6" x14ac:dyDescent="0.35">
      <c r="F680"/>
    </row>
    <row r="681" spans="6:6" x14ac:dyDescent="0.35">
      <c r="F681"/>
    </row>
    <row r="682" spans="6:6" x14ac:dyDescent="0.35">
      <c r="F682"/>
    </row>
    <row r="683" spans="6:6" x14ac:dyDescent="0.35">
      <c r="F683"/>
    </row>
    <row r="684" spans="6:6" x14ac:dyDescent="0.35">
      <c r="F684"/>
    </row>
    <row r="685" spans="6:6" x14ac:dyDescent="0.35">
      <c r="F685"/>
    </row>
    <row r="686" spans="6:6" x14ac:dyDescent="0.35">
      <c r="F686"/>
    </row>
    <row r="687" spans="6:6" x14ac:dyDescent="0.35">
      <c r="F687"/>
    </row>
    <row r="688" spans="6:6" x14ac:dyDescent="0.35">
      <c r="F688"/>
    </row>
    <row r="689" spans="6:6" x14ac:dyDescent="0.35">
      <c r="F689"/>
    </row>
    <row r="690" spans="6:6" x14ac:dyDescent="0.35">
      <c r="F690"/>
    </row>
    <row r="691" spans="6:6" x14ac:dyDescent="0.35">
      <c r="F691"/>
    </row>
    <row r="692" spans="6:6" x14ac:dyDescent="0.35">
      <c r="F692"/>
    </row>
    <row r="693" spans="6:6" x14ac:dyDescent="0.35">
      <c r="F693"/>
    </row>
    <row r="694" spans="6:6" x14ac:dyDescent="0.35">
      <c r="F694"/>
    </row>
    <row r="695" spans="6:6" x14ac:dyDescent="0.35">
      <c r="F695"/>
    </row>
    <row r="696" spans="6:6" x14ac:dyDescent="0.35">
      <c r="F696"/>
    </row>
    <row r="697" spans="6:6" x14ac:dyDescent="0.35">
      <c r="F697"/>
    </row>
    <row r="698" spans="6:6" x14ac:dyDescent="0.35">
      <c r="F698"/>
    </row>
    <row r="699" spans="6:6" x14ac:dyDescent="0.35">
      <c r="F699"/>
    </row>
    <row r="700" spans="6:6" x14ac:dyDescent="0.35">
      <c r="F700"/>
    </row>
    <row r="701" spans="6:6" x14ac:dyDescent="0.35">
      <c r="F701"/>
    </row>
    <row r="702" spans="6:6" x14ac:dyDescent="0.35">
      <c r="F702"/>
    </row>
    <row r="703" spans="6:6" x14ac:dyDescent="0.35">
      <c r="F703"/>
    </row>
    <row r="704" spans="6:6" x14ac:dyDescent="0.35">
      <c r="F704"/>
    </row>
    <row r="705" spans="6:6" x14ac:dyDescent="0.35">
      <c r="F705"/>
    </row>
    <row r="706" spans="6:6" x14ac:dyDescent="0.35">
      <c r="F706"/>
    </row>
    <row r="707" spans="6:6" x14ac:dyDescent="0.35">
      <c r="F707"/>
    </row>
    <row r="708" spans="6:6" x14ac:dyDescent="0.35">
      <c r="F708"/>
    </row>
    <row r="709" spans="6:6" x14ac:dyDescent="0.35">
      <c r="F709"/>
    </row>
    <row r="710" spans="6:6" x14ac:dyDescent="0.35">
      <c r="F710"/>
    </row>
    <row r="711" spans="6:6" x14ac:dyDescent="0.35">
      <c r="F711"/>
    </row>
    <row r="712" spans="6:6" x14ac:dyDescent="0.35">
      <c r="F712"/>
    </row>
    <row r="713" spans="6:6" x14ac:dyDescent="0.35">
      <c r="F713"/>
    </row>
    <row r="714" spans="6:6" x14ac:dyDescent="0.35">
      <c r="F714"/>
    </row>
    <row r="715" spans="6:6" x14ac:dyDescent="0.35">
      <c r="F715"/>
    </row>
    <row r="716" spans="6:6" x14ac:dyDescent="0.35">
      <c r="F716"/>
    </row>
    <row r="717" spans="6:6" x14ac:dyDescent="0.35">
      <c r="F717"/>
    </row>
    <row r="718" spans="6:6" x14ac:dyDescent="0.35">
      <c r="F718"/>
    </row>
    <row r="719" spans="6:6" x14ac:dyDescent="0.35">
      <c r="F719"/>
    </row>
    <row r="720" spans="6:6" x14ac:dyDescent="0.35">
      <c r="F720"/>
    </row>
    <row r="721" spans="6:6" x14ac:dyDescent="0.35">
      <c r="F721"/>
    </row>
    <row r="722" spans="6:6" x14ac:dyDescent="0.35">
      <c r="F722"/>
    </row>
    <row r="723" spans="6:6" x14ac:dyDescent="0.35">
      <c r="F723"/>
    </row>
    <row r="724" spans="6:6" x14ac:dyDescent="0.35">
      <c r="F724"/>
    </row>
    <row r="725" spans="6:6" x14ac:dyDescent="0.35">
      <c r="F725"/>
    </row>
    <row r="726" spans="6:6" x14ac:dyDescent="0.35">
      <c r="F726"/>
    </row>
    <row r="727" spans="6:6" x14ac:dyDescent="0.35">
      <c r="F727"/>
    </row>
    <row r="728" spans="6:6" x14ac:dyDescent="0.35">
      <c r="F728"/>
    </row>
    <row r="729" spans="6:6" x14ac:dyDescent="0.35">
      <c r="F729"/>
    </row>
    <row r="730" spans="6:6" x14ac:dyDescent="0.35">
      <c r="F730"/>
    </row>
    <row r="731" spans="6:6" x14ac:dyDescent="0.35">
      <c r="F731"/>
    </row>
    <row r="732" spans="6:6" x14ac:dyDescent="0.35">
      <c r="F732"/>
    </row>
    <row r="733" spans="6:6" x14ac:dyDescent="0.35">
      <c r="F733"/>
    </row>
    <row r="734" spans="6:6" x14ac:dyDescent="0.35">
      <c r="F734"/>
    </row>
    <row r="735" spans="6:6" x14ac:dyDescent="0.35">
      <c r="F735"/>
    </row>
    <row r="736" spans="6:6" x14ac:dyDescent="0.35">
      <c r="F736"/>
    </row>
    <row r="737" spans="6:6" x14ac:dyDescent="0.35">
      <c r="F737"/>
    </row>
    <row r="738" spans="6:6" x14ac:dyDescent="0.35">
      <c r="F738"/>
    </row>
    <row r="739" spans="6:6" x14ac:dyDescent="0.35">
      <c r="F739"/>
    </row>
    <row r="740" spans="6:6" x14ac:dyDescent="0.35">
      <c r="F740"/>
    </row>
    <row r="741" spans="6:6" x14ac:dyDescent="0.35">
      <c r="F741"/>
    </row>
    <row r="742" spans="6:6" x14ac:dyDescent="0.35">
      <c r="F742"/>
    </row>
    <row r="743" spans="6:6" x14ac:dyDescent="0.35">
      <c r="F743"/>
    </row>
    <row r="744" spans="6:6" x14ac:dyDescent="0.35">
      <c r="F744"/>
    </row>
    <row r="745" spans="6:6" x14ac:dyDescent="0.35">
      <c r="F745"/>
    </row>
    <row r="746" spans="6:6" x14ac:dyDescent="0.35">
      <c r="F746"/>
    </row>
    <row r="747" spans="6:6" x14ac:dyDescent="0.35">
      <c r="F747"/>
    </row>
    <row r="748" spans="6:6" x14ac:dyDescent="0.35">
      <c r="F748"/>
    </row>
    <row r="749" spans="6:6" x14ac:dyDescent="0.35">
      <c r="F749"/>
    </row>
    <row r="750" spans="6:6" x14ac:dyDescent="0.35">
      <c r="F750"/>
    </row>
    <row r="751" spans="6:6" x14ac:dyDescent="0.35">
      <c r="F751"/>
    </row>
    <row r="752" spans="6:6" x14ac:dyDescent="0.35">
      <c r="F752"/>
    </row>
    <row r="753" spans="6:6" x14ac:dyDescent="0.35">
      <c r="F753"/>
    </row>
    <row r="754" spans="6:6" x14ac:dyDescent="0.35">
      <c r="F754"/>
    </row>
    <row r="755" spans="6:6" x14ac:dyDescent="0.35">
      <c r="F755"/>
    </row>
    <row r="756" spans="6:6" x14ac:dyDescent="0.35">
      <c r="F756"/>
    </row>
    <row r="757" spans="6:6" x14ac:dyDescent="0.35">
      <c r="F757"/>
    </row>
    <row r="758" spans="6:6" x14ac:dyDescent="0.35">
      <c r="F758"/>
    </row>
    <row r="759" spans="6:6" x14ac:dyDescent="0.35">
      <c r="F759"/>
    </row>
    <row r="760" spans="6:6" x14ac:dyDescent="0.35">
      <c r="F760"/>
    </row>
    <row r="761" spans="6:6" x14ac:dyDescent="0.35">
      <c r="F761"/>
    </row>
    <row r="762" spans="6:6" x14ac:dyDescent="0.35">
      <c r="F762"/>
    </row>
    <row r="763" spans="6:6" x14ac:dyDescent="0.35">
      <c r="F763"/>
    </row>
    <row r="764" spans="6:6" x14ac:dyDescent="0.35">
      <c r="F764"/>
    </row>
    <row r="765" spans="6:6" x14ac:dyDescent="0.35">
      <c r="F765"/>
    </row>
    <row r="766" spans="6:6" x14ac:dyDescent="0.35">
      <c r="F766"/>
    </row>
    <row r="767" spans="6:6" x14ac:dyDescent="0.35">
      <c r="F767"/>
    </row>
    <row r="768" spans="6:6" x14ac:dyDescent="0.35">
      <c r="F768"/>
    </row>
    <row r="769" spans="6:6" x14ac:dyDescent="0.35">
      <c r="F769"/>
    </row>
    <row r="770" spans="6:6" x14ac:dyDescent="0.35">
      <c r="F770"/>
    </row>
    <row r="771" spans="6:6" x14ac:dyDescent="0.35">
      <c r="F771"/>
    </row>
    <row r="772" spans="6:6" x14ac:dyDescent="0.35">
      <c r="F772"/>
    </row>
    <row r="773" spans="6:6" x14ac:dyDescent="0.35">
      <c r="F773"/>
    </row>
    <row r="774" spans="6:6" x14ac:dyDescent="0.35">
      <c r="F774"/>
    </row>
    <row r="775" spans="6:6" x14ac:dyDescent="0.35">
      <c r="F775"/>
    </row>
    <row r="776" spans="6:6" x14ac:dyDescent="0.35">
      <c r="F776"/>
    </row>
    <row r="777" spans="6:6" x14ac:dyDescent="0.35">
      <c r="F777"/>
    </row>
    <row r="778" spans="6:6" x14ac:dyDescent="0.35">
      <c r="F778"/>
    </row>
    <row r="779" spans="6:6" x14ac:dyDescent="0.35">
      <c r="F779"/>
    </row>
    <row r="780" spans="6:6" x14ac:dyDescent="0.35">
      <c r="F780"/>
    </row>
    <row r="781" spans="6:6" x14ac:dyDescent="0.35">
      <c r="F781"/>
    </row>
    <row r="782" spans="6:6" x14ac:dyDescent="0.35">
      <c r="F782"/>
    </row>
    <row r="783" spans="6:6" x14ac:dyDescent="0.35">
      <c r="F783"/>
    </row>
    <row r="784" spans="6:6" x14ac:dyDescent="0.35">
      <c r="F784"/>
    </row>
    <row r="785" spans="6:6" x14ac:dyDescent="0.35">
      <c r="F785"/>
    </row>
    <row r="786" spans="6:6" x14ac:dyDescent="0.35">
      <c r="F786"/>
    </row>
    <row r="787" spans="6:6" x14ac:dyDescent="0.35">
      <c r="F787"/>
    </row>
    <row r="788" spans="6:6" x14ac:dyDescent="0.35">
      <c r="F788"/>
    </row>
    <row r="789" spans="6:6" x14ac:dyDescent="0.35">
      <c r="F789"/>
    </row>
    <row r="790" spans="6:6" x14ac:dyDescent="0.35">
      <c r="F790"/>
    </row>
    <row r="791" spans="6:6" x14ac:dyDescent="0.35">
      <c r="F791"/>
    </row>
    <row r="792" spans="6:6" x14ac:dyDescent="0.35">
      <c r="F792"/>
    </row>
    <row r="793" spans="6:6" x14ac:dyDescent="0.35">
      <c r="F793"/>
    </row>
    <row r="794" spans="6:6" x14ac:dyDescent="0.35">
      <c r="F794"/>
    </row>
    <row r="795" spans="6:6" x14ac:dyDescent="0.35">
      <c r="F795"/>
    </row>
    <row r="796" spans="6:6" x14ac:dyDescent="0.35">
      <c r="F796"/>
    </row>
    <row r="797" spans="6:6" x14ac:dyDescent="0.35">
      <c r="F797"/>
    </row>
    <row r="798" spans="6:6" x14ac:dyDescent="0.35">
      <c r="F798"/>
    </row>
    <row r="799" spans="6:6" x14ac:dyDescent="0.35">
      <c r="F799"/>
    </row>
    <row r="800" spans="6:6" x14ac:dyDescent="0.35">
      <c r="F800"/>
    </row>
    <row r="801" spans="6:6" x14ac:dyDescent="0.35">
      <c r="F801"/>
    </row>
    <row r="802" spans="6:6" x14ac:dyDescent="0.35">
      <c r="F802"/>
    </row>
    <row r="803" spans="6:6" x14ac:dyDescent="0.35">
      <c r="F803"/>
    </row>
    <row r="804" spans="6:6" x14ac:dyDescent="0.35">
      <c r="F804"/>
    </row>
    <row r="805" spans="6:6" x14ac:dyDescent="0.35">
      <c r="F805"/>
    </row>
    <row r="806" spans="6:6" x14ac:dyDescent="0.35">
      <c r="F806"/>
    </row>
    <row r="807" spans="6:6" x14ac:dyDescent="0.35">
      <c r="F807"/>
    </row>
    <row r="808" spans="6:6" x14ac:dyDescent="0.35">
      <c r="F808"/>
    </row>
    <row r="809" spans="6:6" x14ac:dyDescent="0.35">
      <c r="F809"/>
    </row>
    <row r="810" spans="6:6" x14ac:dyDescent="0.35">
      <c r="F810"/>
    </row>
    <row r="811" spans="6:6" x14ac:dyDescent="0.35">
      <c r="F811"/>
    </row>
    <row r="812" spans="6:6" x14ac:dyDescent="0.35">
      <c r="F812"/>
    </row>
    <row r="813" spans="6:6" x14ac:dyDescent="0.35">
      <c r="F813"/>
    </row>
    <row r="814" spans="6:6" x14ac:dyDescent="0.35">
      <c r="F814"/>
    </row>
    <row r="815" spans="6:6" x14ac:dyDescent="0.35">
      <c r="F815"/>
    </row>
    <row r="816" spans="6:6" x14ac:dyDescent="0.35">
      <c r="F816"/>
    </row>
    <row r="817" spans="6:6" x14ac:dyDescent="0.35">
      <c r="F817"/>
    </row>
    <row r="818" spans="6:6" x14ac:dyDescent="0.35">
      <c r="F818"/>
    </row>
    <row r="819" spans="6:6" x14ac:dyDescent="0.35">
      <c r="F819"/>
    </row>
    <row r="820" spans="6:6" x14ac:dyDescent="0.35">
      <c r="F820"/>
    </row>
    <row r="821" spans="6:6" x14ac:dyDescent="0.35">
      <c r="F821"/>
    </row>
    <row r="822" spans="6:6" x14ac:dyDescent="0.35">
      <c r="F822"/>
    </row>
    <row r="823" spans="6:6" x14ac:dyDescent="0.35">
      <c r="F823"/>
    </row>
    <row r="824" spans="6:6" x14ac:dyDescent="0.35">
      <c r="F824"/>
    </row>
    <row r="825" spans="6:6" x14ac:dyDescent="0.35">
      <c r="F825"/>
    </row>
    <row r="826" spans="6:6" x14ac:dyDescent="0.35">
      <c r="F826"/>
    </row>
    <row r="827" spans="6:6" x14ac:dyDescent="0.35">
      <c r="F827"/>
    </row>
    <row r="828" spans="6:6" x14ac:dyDescent="0.35">
      <c r="F828"/>
    </row>
    <row r="829" spans="6:6" x14ac:dyDescent="0.35">
      <c r="F829"/>
    </row>
    <row r="830" spans="6:6" x14ac:dyDescent="0.35">
      <c r="F830"/>
    </row>
    <row r="831" spans="6:6" x14ac:dyDescent="0.35">
      <c r="F831"/>
    </row>
    <row r="832" spans="6:6" x14ac:dyDescent="0.35">
      <c r="F832"/>
    </row>
    <row r="833" spans="6:6" x14ac:dyDescent="0.35">
      <c r="F833"/>
    </row>
    <row r="834" spans="6:6" x14ac:dyDescent="0.35">
      <c r="F834"/>
    </row>
    <row r="835" spans="6:6" x14ac:dyDescent="0.35">
      <c r="F835"/>
    </row>
    <row r="836" spans="6:6" x14ac:dyDescent="0.35">
      <c r="F836"/>
    </row>
    <row r="837" spans="6:6" x14ac:dyDescent="0.35">
      <c r="F837"/>
    </row>
    <row r="838" spans="6:6" x14ac:dyDescent="0.35">
      <c r="F838"/>
    </row>
    <row r="839" spans="6:6" x14ac:dyDescent="0.35">
      <c r="F839"/>
    </row>
    <row r="840" spans="6:6" x14ac:dyDescent="0.35">
      <c r="F840"/>
    </row>
    <row r="841" spans="6:6" x14ac:dyDescent="0.35">
      <c r="F841"/>
    </row>
    <row r="842" spans="6:6" x14ac:dyDescent="0.35">
      <c r="F842"/>
    </row>
    <row r="843" spans="6:6" x14ac:dyDescent="0.35">
      <c r="F843"/>
    </row>
    <row r="844" spans="6:6" x14ac:dyDescent="0.35">
      <c r="F844"/>
    </row>
    <row r="845" spans="6:6" x14ac:dyDescent="0.35">
      <c r="F845"/>
    </row>
    <row r="846" spans="6:6" x14ac:dyDescent="0.35">
      <c r="F846"/>
    </row>
    <row r="847" spans="6:6" x14ac:dyDescent="0.35">
      <c r="F847"/>
    </row>
    <row r="848" spans="6:6" x14ac:dyDescent="0.35">
      <c r="F848"/>
    </row>
    <row r="849" spans="6:6" x14ac:dyDescent="0.35">
      <c r="F849"/>
    </row>
    <row r="850" spans="6:6" x14ac:dyDescent="0.35">
      <c r="F850"/>
    </row>
    <row r="851" spans="6:6" x14ac:dyDescent="0.35">
      <c r="F851"/>
    </row>
    <row r="852" spans="6:6" x14ac:dyDescent="0.35">
      <c r="F852"/>
    </row>
    <row r="853" spans="6:6" x14ac:dyDescent="0.35">
      <c r="F853"/>
    </row>
    <row r="854" spans="6:6" x14ac:dyDescent="0.35">
      <c r="F854"/>
    </row>
    <row r="855" spans="6:6" x14ac:dyDescent="0.35">
      <c r="F855"/>
    </row>
    <row r="856" spans="6:6" x14ac:dyDescent="0.35">
      <c r="F856"/>
    </row>
    <row r="857" spans="6:6" x14ac:dyDescent="0.35">
      <c r="F857"/>
    </row>
    <row r="858" spans="6:6" x14ac:dyDescent="0.35">
      <c r="F858"/>
    </row>
    <row r="859" spans="6:6" x14ac:dyDescent="0.35">
      <c r="F859"/>
    </row>
    <row r="860" spans="6:6" x14ac:dyDescent="0.35">
      <c r="F860"/>
    </row>
    <row r="861" spans="6:6" x14ac:dyDescent="0.35">
      <c r="F861"/>
    </row>
    <row r="862" spans="6:6" x14ac:dyDescent="0.35">
      <c r="F862"/>
    </row>
    <row r="863" spans="6:6" x14ac:dyDescent="0.35">
      <c r="F863"/>
    </row>
    <row r="864" spans="6:6" x14ac:dyDescent="0.35">
      <c r="F864"/>
    </row>
    <row r="865" spans="6:6" x14ac:dyDescent="0.35">
      <c r="F865"/>
    </row>
    <row r="866" spans="6:6" x14ac:dyDescent="0.35">
      <c r="F866"/>
    </row>
    <row r="867" spans="6:6" x14ac:dyDescent="0.35">
      <c r="F867"/>
    </row>
    <row r="868" spans="6:6" x14ac:dyDescent="0.35">
      <c r="F868"/>
    </row>
    <row r="869" spans="6:6" x14ac:dyDescent="0.35">
      <c r="F869"/>
    </row>
    <row r="870" spans="6:6" x14ac:dyDescent="0.35">
      <c r="F870"/>
    </row>
    <row r="871" spans="6:6" x14ac:dyDescent="0.35">
      <c r="F871"/>
    </row>
    <row r="872" spans="6:6" x14ac:dyDescent="0.35">
      <c r="F872"/>
    </row>
    <row r="873" spans="6:6" x14ac:dyDescent="0.35">
      <c r="F873"/>
    </row>
    <row r="874" spans="6:6" x14ac:dyDescent="0.35">
      <c r="F874"/>
    </row>
    <row r="875" spans="6:6" x14ac:dyDescent="0.35">
      <c r="F875"/>
    </row>
    <row r="876" spans="6:6" x14ac:dyDescent="0.35">
      <c r="F876"/>
    </row>
    <row r="877" spans="6:6" x14ac:dyDescent="0.35">
      <c r="F877"/>
    </row>
    <row r="878" spans="6:6" x14ac:dyDescent="0.35">
      <c r="F878"/>
    </row>
    <row r="879" spans="6:6" x14ac:dyDescent="0.35">
      <c r="F879"/>
    </row>
    <row r="880" spans="6:6" x14ac:dyDescent="0.35">
      <c r="F880"/>
    </row>
    <row r="881" spans="6:6" x14ac:dyDescent="0.35">
      <c r="F881"/>
    </row>
    <row r="882" spans="6:6" x14ac:dyDescent="0.35">
      <c r="F882"/>
    </row>
    <row r="883" spans="6:6" x14ac:dyDescent="0.35">
      <c r="F883"/>
    </row>
    <row r="884" spans="6:6" x14ac:dyDescent="0.35">
      <c r="F884"/>
    </row>
    <row r="885" spans="6:6" x14ac:dyDescent="0.35">
      <c r="F885"/>
    </row>
    <row r="886" spans="6:6" x14ac:dyDescent="0.35">
      <c r="F886"/>
    </row>
    <row r="887" spans="6:6" x14ac:dyDescent="0.35">
      <c r="F887"/>
    </row>
    <row r="888" spans="6:6" x14ac:dyDescent="0.35">
      <c r="F888"/>
    </row>
    <row r="889" spans="6:6" x14ac:dyDescent="0.35">
      <c r="F889"/>
    </row>
    <row r="890" spans="6:6" x14ac:dyDescent="0.35">
      <c r="F890"/>
    </row>
    <row r="891" spans="6:6" x14ac:dyDescent="0.35">
      <c r="F891"/>
    </row>
    <row r="892" spans="6:6" x14ac:dyDescent="0.35">
      <c r="F892"/>
    </row>
    <row r="893" spans="6:6" x14ac:dyDescent="0.35">
      <c r="F893"/>
    </row>
    <row r="894" spans="6:6" x14ac:dyDescent="0.35">
      <c r="F894"/>
    </row>
    <row r="895" spans="6:6" x14ac:dyDescent="0.35">
      <c r="F895"/>
    </row>
    <row r="896" spans="6:6" x14ac:dyDescent="0.35">
      <c r="F896"/>
    </row>
    <row r="897" spans="6:6" x14ac:dyDescent="0.35">
      <c r="F897"/>
    </row>
    <row r="898" spans="6:6" x14ac:dyDescent="0.35">
      <c r="F898"/>
    </row>
    <row r="899" spans="6:6" x14ac:dyDescent="0.35">
      <c r="F899"/>
    </row>
    <row r="900" spans="6:6" x14ac:dyDescent="0.35">
      <c r="F900"/>
    </row>
    <row r="901" spans="6:6" x14ac:dyDescent="0.35">
      <c r="F901"/>
    </row>
    <row r="902" spans="6:6" x14ac:dyDescent="0.35">
      <c r="F902"/>
    </row>
    <row r="903" spans="6:6" x14ac:dyDescent="0.35">
      <c r="F903"/>
    </row>
    <row r="904" spans="6:6" x14ac:dyDescent="0.35">
      <c r="F904"/>
    </row>
    <row r="905" spans="6:6" x14ac:dyDescent="0.35">
      <c r="F905"/>
    </row>
    <row r="906" spans="6:6" x14ac:dyDescent="0.35">
      <c r="F906"/>
    </row>
    <row r="907" spans="6:6" x14ac:dyDescent="0.35">
      <c r="F907"/>
    </row>
    <row r="908" spans="6:6" x14ac:dyDescent="0.35">
      <c r="F908"/>
    </row>
    <row r="909" spans="6:6" x14ac:dyDescent="0.35">
      <c r="F909"/>
    </row>
    <row r="910" spans="6:6" x14ac:dyDescent="0.35">
      <c r="F910"/>
    </row>
    <row r="911" spans="6:6" x14ac:dyDescent="0.35">
      <c r="F911"/>
    </row>
    <row r="912" spans="6:6" x14ac:dyDescent="0.35">
      <c r="F912"/>
    </row>
    <row r="913" spans="6:6" x14ac:dyDescent="0.35">
      <c r="F913"/>
    </row>
    <row r="914" spans="6:6" x14ac:dyDescent="0.35">
      <c r="F914"/>
    </row>
    <row r="915" spans="6:6" x14ac:dyDescent="0.35">
      <c r="F915"/>
    </row>
    <row r="916" spans="6:6" x14ac:dyDescent="0.35">
      <c r="F916"/>
    </row>
    <row r="917" spans="6:6" x14ac:dyDescent="0.35">
      <c r="F917"/>
    </row>
    <row r="918" spans="6:6" x14ac:dyDescent="0.35">
      <c r="F918"/>
    </row>
    <row r="919" spans="6:6" x14ac:dyDescent="0.35">
      <c r="F919"/>
    </row>
    <row r="920" spans="6:6" x14ac:dyDescent="0.35">
      <c r="F920"/>
    </row>
    <row r="921" spans="6:6" x14ac:dyDescent="0.35">
      <c r="F921"/>
    </row>
    <row r="922" spans="6:6" x14ac:dyDescent="0.35">
      <c r="F922"/>
    </row>
    <row r="923" spans="6:6" x14ac:dyDescent="0.35">
      <c r="F923"/>
    </row>
    <row r="924" spans="6:6" x14ac:dyDescent="0.35">
      <c r="F924"/>
    </row>
    <row r="925" spans="6:6" x14ac:dyDescent="0.35">
      <c r="F925"/>
    </row>
    <row r="926" spans="6:6" x14ac:dyDescent="0.35">
      <c r="F926"/>
    </row>
    <row r="927" spans="6:6" x14ac:dyDescent="0.35">
      <c r="F927"/>
    </row>
    <row r="928" spans="6:6" x14ac:dyDescent="0.35">
      <c r="F928"/>
    </row>
    <row r="929" spans="6:6" x14ac:dyDescent="0.35">
      <c r="F929"/>
    </row>
    <row r="930" spans="6:6" x14ac:dyDescent="0.35">
      <c r="F930"/>
    </row>
    <row r="931" spans="6:6" x14ac:dyDescent="0.35">
      <c r="F931"/>
    </row>
    <row r="932" spans="6:6" x14ac:dyDescent="0.35">
      <c r="F932"/>
    </row>
    <row r="933" spans="6:6" x14ac:dyDescent="0.35">
      <c r="F933"/>
    </row>
    <row r="934" spans="6:6" x14ac:dyDescent="0.35">
      <c r="F934"/>
    </row>
    <row r="935" spans="6:6" x14ac:dyDescent="0.35">
      <c r="F935"/>
    </row>
    <row r="936" spans="6:6" x14ac:dyDescent="0.35">
      <c r="F936"/>
    </row>
    <row r="937" spans="6:6" x14ac:dyDescent="0.35">
      <c r="F937"/>
    </row>
    <row r="938" spans="6:6" x14ac:dyDescent="0.35">
      <c r="F938"/>
    </row>
    <row r="939" spans="6:6" x14ac:dyDescent="0.35">
      <c r="F939"/>
    </row>
    <row r="940" spans="6:6" x14ac:dyDescent="0.35">
      <c r="F940"/>
    </row>
    <row r="941" spans="6:6" x14ac:dyDescent="0.35">
      <c r="F941"/>
    </row>
    <row r="942" spans="6:6" x14ac:dyDescent="0.35">
      <c r="F942"/>
    </row>
    <row r="943" spans="6:6" x14ac:dyDescent="0.35">
      <c r="F943"/>
    </row>
    <row r="944" spans="6:6" x14ac:dyDescent="0.35">
      <c r="F944"/>
    </row>
    <row r="945" spans="6:6" x14ac:dyDescent="0.35">
      <c r="F945"/>
    </row>
    <row r="946" spans="6:6" x14ac:dyDescent="0.35">
      <c r="F946"/>
    </row>
    <row r="947" spans="6:6" x14ac:dyDescent="0.35">
      <c r="F947"/>
    </row>
    <row r="948" spans="6:6" x14ac:dyDescent="0.35">
      <c r="F948"/>
    </row>
    <row r="949" spans="6:6" x14ac:dyDescent="0.35">
      <c r="F949"/>
    </row>
    <row r="950" spans="6:6" x14ac:dyDescent="0.35">
      <c r="F950"/>
    </row>
    <row r="951" spans="6:6" x14ac:dyDescent="0.35">
      <c r="F951"/>
    </row>
    <row r="952" spans="6:6" x14ac:dyDescent="0.35">
      <c r="F952"/>
    </row>
    <row r="953" spans="6:6" x14ac:dyDescent="0.35">
      <c r="F953"/>
    </row>
    <row r="954" spans="6:6" x14ac:dyDescent="0.35">
      <c r="F954"/>
    </row>
    <row r="955" spans="6:6" x14ac:dyDescent="0.35">
      <c r="F955"/>
    </row>
    <row r="956" spans="6:6" x14ac:dyDescent="0.35">
      <c r="F956"/>
    </row>
    <row r="957" spans="6:6" x14ac:dyDescent="0.35">
      <c r="F957"/>
    </row>
    <row r="958" spans="6:6" x14ac:dyDescent="0.35">
      <c r="F958"/>
    </row>
    <row r="959" spans="6:6" x14ac:dyDescent="0.35">
      <c r="F959"/>
    </row>
    <row r="960" spans="6:6" x14ac:dyDescent="0.35">
      <c r="F960"/>
    </row>
    <row r="961" spans="6:6" x14ac:dyDescent="0.35">
      <c r="F961"/>
    </row>
    <row r="962" spans="6:6" x14ac:dyDescent="0.35">
      <c r="F962"/>
    </row>
    <row r="963" spans="6:6" x14ac:dyDescent="0.35">
      <c r="F963"/>
    </row>
    <row r="964" spans="6:6" x14ac:dyDescent="0.35">
      <c r="F964"/>
    </row>
    <row r="965" spans="6:6" x14ac:dyDescent="0.35">
      <c r="F965"/>
    </row>
    <row r="966" spans="6:6" x14ac:dyDescent="0.35">
      <c r="F966"/>
    </row>
    <row r="967" spans="6:6" x14ac:dyDescent="0.35">
      <c r="F967"/>
    </row>
    <row r="968" spans="6:6" x14ac:dyDescent="0.35">
      <c r="F968"/>
    </row>
    <row r="969" spans="6:6" x14ac:dyDescent="0.35">
      <c r="F969"/>
    </row>
    <row r="970" spans="6:6" x14ac:dyDescent="0.35">
      <c r="F970"/>
    </row>
    <row r="971" spans="6:6" x14ac:dyDescent="0.35">
      <c r="F971"/>
    </row>
    <row r="972" spans="6:6" x14ac:dyDescent="0.35">
      <c r="F972"/>
    </row>
    <row r="973" spans="6:6" x14ac:dyDescent="0.35">
      <c r="F973"/>
    </row>
    <row r="974" spans="6:6" x14ac:dyDescent="0.35">
      <c r="F974"/>
    </row>
    <row r="975" spans="6:6" x14ac:dyDescent="0.35">
      <c r="F975"/>
    </row>
    <row r="976" spans="6:6" x14ac:dyDescent="0.35">
      <c r="F976"/>
    </row>
    <row r="977" spans="6:6" x14ac:dyDescent="0.35">
      <c r="F977"/>
    </row>
    <row r="978" spans="6:6" x14ac:dyDescent="0.35">
      <c r="F978"/>
    </row>
    <row r="979" spans="6:6" x14ac:dyDescent="0.35">
      <c r="F979"/>
    </row>
    <row r="980" spans="6:6" x14ac:dyDescent="0.35">
      <c r="F980"/>
    </row>
    <row r="981" spans="6:6" x14ac:dyDescent="0.35">
      <c r="F981"/>
    </row>
    <row r="982" spans="6:6" x14ac:dyDescent="0.35">
      <c r="F982"/>
    </row>
    <row r="983" spans="6:6" x14ac:dyDescent="0.35">
      <c r="F983"/>
    </row>
    <row r="984" spans="6:6" x14ac:dyDescent="0.35">
      <c r="F984"/>
    </row>
    <row r="985" spans="6:6" x14ac:dyDescent="0.35">
      <c r="F985"/>
    </row>
    <row r="986" spans="6:6" x14ac:dyDescent="0.35">
      <c r="F986"/>
    </row>
    <row r="987" spans="6:6" x14ac:dyDescent="0.35">
      <c r="F987"/>
    </row>
    <row r="988" spans="6:6" x14ac:dyDescent="0.35">
      <c r="F988"/>
    </row>
    <row r="989" spans="6:6" x14ac:dyDescent="0.35">
      <c r="F989"/>
    </row>
    <row r="990" spans="6:6" x14ac:dyDescent="0.35">
      <c r="F990"/>
    </row>
    <row r="991" spans="6:6" x14ac:dyDescent="0.35">
      <c r="F991"/>
    </row>
    <row r="992" spans="6:6" x14ac:dyDescent="0.35">
      <c r="F992"/>
    </row>
    <row r="993" spans="6:6" x14ac:dyDescent="0.35">
      <c r="F993"/>
    </row>
    <row r="994" spans="6:6" x14ac:dyDescent="0.35">
      <c r="F994"/>
    </row>
    <row r="995" spans="6:6" x14ac:dyDescent="0.35">
      <c r="F995"/>
    </row>
    <row r="996" spans="6:6" x14ac:dyDescent="0.35">
      <c r="F996"/>
    </row>
    <row r="997" spans="6:6" x14ac:dyDescent="0.35">
      <c r="F997"/>
    </row>
    <row r="998" spans="6:6" x14ac:dyDescent="0.35">
      <c r="F998"/>
    </row>
    <row r="999" spans="6:6" x14ac:dyDescent="0.35">
      <c r="F999"/>
    </row>
    <row r="1000" spans="6:6" x14ac:dyDescent="0.35">
      <c r="F1000"/>
    </row>
    <row r="1001" spans="6:6" x14ac:dyDescent="0.35">
      <c r="F1001"/>
    </row>
    <row r="1002" spans="6:6" x14ac:dyDescent="0.35">
      <c r="F1002"/>
    </row>
    <row r="1003" spans="6:6" x14ac:dyDescent="0.35">
      <c r="F1003"/>
    </row>
    <row r="1004" spans="6:6" x14ac:dyDescent="0.35">
      <c r="F1004"/>
    </row>
    <row r="1005" spans="6:6" x14ac:dyDescent="0.35">
      <c r="F1005"/>
    </row>
    <row r="1006" spans="6:6" x14ac:dyDescent="0.35">
      <c r="F1006"/>
    </row>
    <row r="1007" spans="6:6" x14ac:dyDescent="0.35">
      <c r="F1007"/>
    </row>
    <row r="1008" spans="6:6" x14ac:dyDescent="0.35">
      <c r="F1008"/>
    </row>
    <row r="1009" spans="6:6" x14ac:dyDescent="0.35">
      <c r="F1009"/>
    </row>
    <row r="1010" spans="6:6" x14ac:dyDescent="0.35">
      <c r="F1010"/>
    </row>
    <row r="1011" spans="6:6" x14ac:dyDescent="0.35">
      <c r="F1011"/>
    </row>
    <row r="1012" spans="6:6" x14ac:dyDescent="0.35">
      <c r="F1012"/>
    </row>
    <row r="1013" spans="6:6" x14ac:dyDescent="0.35">
      <c r="F1013"/>
    </row>
    <row r="1014" spans="6:6" x14ac:dyDescent="0.35">
      <c r="F1014"/>
    </row>
    <row r="1015" spans="6:6" x14ac:dyDescent="0.35">
      <c r="F1015"/>
    </row>
    <row r="1016" spans="6:6" x14ac:dyDescent="0.35">
      <c r="F1016"/>
    </row>
    <row r="1017" spans="6:6" x14ac:dyDescent="0.35">
      <c r="F1017"/>
    </row>
    <row r="1018" spans="6:6" x14ac:dyDescent="0.35">
      <c r="F1018"/>
    </row>
    <row r="1019" spans="6:6" x14ac:dyDescent="0.35">
      <c r="F1019"/>
    </row>
    <row r="1020" spans="6:6" x14ac:dyDescent="0.35">
      <c r="F1020"/>
    </row>
    <row r="1021" spans="6:6" x14ac:dyDescent="0.35">
      <c r="F1021"/>
    </row>
    <row r="1022" spans="6:6" x14ac:dyDescent="0.35">
      <c r="F1022"/>
    </row>
    <row r="1023" spans="6:6" x14ac:dyDescent="0.35">
      <c r="F1023"/>
    </row>
    <row r="1024" spans="6:6" x14ac:dyDescent="0.35">
      <c r="F1024"/>
    </row>
    <row r="1025" spans="6:6" x14ac:dyDescent="0.35">
      <c r="F1025"/>
    </row>
    <row r="1026" spans="6:6" x14ac:dyDescent="0.35">
      <c r="F1026"/>
    </row>
    <row r="1027" spans="6:6" x14ac:dyDescent="0.35">
      <c r="F1027"/>
    </row>
    <row r="1028" spans="6:6" x14ac:dyDescent="0.35">
      <c r="F1028"/>
    </row>
    <row r="1029" spans="6:6" x14ac:dyDescent="0.35">
      <c r="F1029"/>
    </row>
    <row r="1030" spans="6:6" x14ac:dyDescent="0.35">
      <c r="F1030"/>
    </row>
    <row r="1031" spans="6:6" x14ac:dyDescent="0.35">
      <c r="F1031"/>
    </row>
    <row r="1032" spans="6:6" x14ac:dyDescent="0.35">
      <c r="F1032"/>
    </row>
    <row r="1033" spans="6:6" x14ac:dyDescent="0.35">
      <c r="F1033"/>
    </row>
    <row r="1034" spans="6:6" x14ac:dyDescent="0.35">
      <c r="F1034"/>
    </row>
    <row r="1035" spans="6:6" x14ac:dyDescent="0.35">
      <c r="F1035"/>
    </row>
    <row r="1036" spans="6:6" x14ac:dyDescent="0.35">
      <c r="F1036"/>
    </row>
    <row r="1037" spans="6:6" x14ac:dyDescent="0.35">
      <c r="F1037"/>
    </row>
    <row r="1038" spans="6:6" x14ac:dyDescent="0.35">
      <c r="F1038"/>
    </row>
    <row r="1039" spans="6:6" x14ac:dyDescent="0.35">
      <c r="F1039"/>
    </row>
    <row r="1040" spans="6:6" x14ac:dyDescent="0.35">
      <c r="F1040"/>
    </row>
    <row r="1041" spans="6:6" x14ac:dyDescent="0.35">
      <c r="F1041"/>
    </row>
    <row r="1042" spans="6:6" x14ac:dyDescent="0.35">
      <c r="F104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1036"/>
  <sheetViews>
    <sheetView showGridLines="0" tabSelected="1" zoomScale="70" zoomScaleNormal="70" zoomScaleSheetLayoutView="55" workbookViewId="0">
      <selection activeCell="E1034" sqref="E1034"/>
    </sheetView>
  </sheetViews>
  <sheetFormatPr baseColWidth="10" defaultColWidth="17.453125" defaultRowHeight="14" x14ac:dyDescent="0.35"/>
  <cols>
    <col min="1" max="1" width="9.81640625" style="35" customWidth="1"/>
    <col min="2" max="2" width="17.453125" style="54" customWidth="1"/>
    <col min="3" max="3" width="63.6328125" style="54" customWidth="1"/>
    <col min="4" max="4" width="19.6328125" style="54" customWidth="1"/>
    <col min="5" max="5" width="16" style="54" customWidth="1"/>
    <col min="6" max="6" width="24.7265625" style="54" customWidth="1"/>
    <col min="7" max="7" width="19.7265625" style="54" customWidth="1"/>
    <col min="8" max="8" width="17.08984375" style="153" customWidth="1"/>
    <col min="9" max="9" width="15.08984375" style="136" customWidth="1"/>
    <col min="10" max="10" width="21.26953125" style="55" customWidth="1"/>
    <col min="11" max="11" width="23.36328125" style="54" customWidth="1"/>
    <col min="12" max="12" width="18.26953125" style="35" customWidth="1"/>
    <col min="13" max="13" width="23.08984375" style="35" customWidth="1"/>
    <col min="14" max="14" width="40.453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42" style="37" hidden="1" customWidth="1"/>
    <col min="27" max="27" width="20.7265625" style="56" customWidth="1"/>
    <col min="28" max="28" width="34" style="35" customWidth="1"/>
    <col min="29" max="29" width="32.90625" style="37" hidden="1" customWidth="1"/>
    <col min="30" max="30" width="58.363281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1"/>
      <c r="I1" s="133"/>
      <c r="J1" s="36"/>
      <c r="K1" s="34"/>
      <c r="R1" s="36"/>
      <c r="S1" s="36"/>
      <c r="T1" s="36"/>
      <c r="AH1" s="36"/>
    </row>
    <row r="2" spans="1:35" s="65" customFormat="1" ht="15" x14ac:dyDescent="0.35">
      <c r="B2" s="231"/>
      <c r="C2" s="231"/>
      <c r="D2" s="231"/>
      <c r="E2" s="231"/>
      <c r="F2" s="231"/>
      <c r="G2" s="98"/>
      <c r="H2" s="134"/>
      <c r="I2" s="134"/>
      <c r="J2" s="221"/>
      <c r="K2" s="72"/>
      <c r="L2" s="73"/>
      <c r="Q2" s="73"/>
      <c r="R2" s="73"/>
      <c r="S2" s="73"/>
      <c r="T2" s="73"/>
      <c r="U2" s="73"/>
      <c r="V2" s="64"/>
      <c r="W2" s="64"/>
      <c r="X2" s="64"/>
      <c r="Z2" s="62"/>
      <c r="AA2" s="74"/>
      <c r="AC2" s="62"/>
      <c r="AD2" s="74"/>
      <c r="AE2" s="74"/>
      <c r="AF2" s="62"/>
      <c r="AG2" s="112"/>
      <c r="AH2" s="73"/>
    </row>
    <row r="3" spans="1:35" s="65" customFormat="1" ht="17.5" x14ac:dyDescent="0.35">
      <c r="C3" s="84"/>
      <c r="F3" s="230" t="s">
        <v>66</v>
      </c>
      <c r="G3" s="230"/>
      <c r="H3" s="230"/>
      <c r="I3" s="230"/>
      <c r="J3" s="230"/>
      <c r="K3" s="230"/>
      <c r="L3" s="230"/>
      <c r="M3" s="230"/>
      <c r="N3" s="141" t="s">
        <v>67</v>
      </c>
      <c r="O3" s="142">
        <v>2026</v>
      </c>
      <c r="P3" s="62"/>
      <c r="Q3" s="63"/>
      <c r="R3" s="64"/>
      <c r="S3" s="64"/>
      <c r="T3" s="64"/>
      <c r="Y3" s="75"/>
      <c r="Z3" s="76"/>
      <c r="AA3" s="74"/>
      <c r="AC3" s="62"/>
      <c r="AD3" s="74"/>
      <c r="AE3" s="74"/>
      <c r="AF3" s="62"/>
      <c r="AG3" s="112"/>
    </row>
    <row r="4" spans="1:35" s="65" customFormat="1" ht="15.5" x14ac:dyDescent="0.35">
      <c r="C4" s="84"/>
      <c r="F4" s="230" t="s">
        <v>359</v>
      </c>
      <c r="G4" s="230"/>
      <c r="H4" s="230"/>
      <c r="I4" s="230"/>
      <c r="J4" s="230"/>
      <c r="K4" s="230"/>
      <c r="L4" s="230"/>
      <c r="M4" s="230"/>
      <c r="N4" s="60"/>
      <c r="O4" s="61"/>
      <c r="P4" s="62"/>
      <c r="Q4" s="63"/>
      <c r="R4" s="64"/>
      <c r="S4" s="64"/>
      <c r="T4" s="64"/>
      <c r="Y4" s="75"/>
      <c r="Z4" s="76"/>
      <c r="AA4" s="74"/>
      <c r="AC4" s="62"/>
      <c r="AD4" s="74"/>
      <c r="AE4" s="74"/>
      <c r="AF4" s="62"/>
      <c r="AG4" s="112"/>
    </row>
    <row r="5" spans="1:35" s="65" customFormat="1" ht="15.5" x14ac:dyDescent="0.35">
      <c r="C5" s="84"/>
      <c r="F5" s="230" t="s">
        <v>358</v>
      </c>
      <c r="G5" s="230"/>
      <c r="H5" s="230"/>
      <c r="I5" s="230"/>
      <c r="J5" s="230"/>
      <c r="K5" s="230"/>
      <c r="L5" s="230"/>
      <c r="M5" s="230"/>
      <c r="N5" s="232" t="s">
        <v>536</v>
      </c>
      <c r="O5" s="232"/>
      <c r="P5" s="232"/>
      <c r="Q5" s="220">
        <f>IFERROR(SUMIF($N$12:$N$1036,"8126-Fortalecimiento institucional de la UAECOB para un gobierno confiable Bogotá D.C.",PAA[Valor apropiacion vigencia actual]),0)</f>
        <v>25167465000</v>
      </c>
      <c r="R5" s="119" t="s">
        <v>286</v>
      </c>
      <c r="S5" s="67"/>
      <c r="T5" s="67"/>
      <c r="U5" s="96">
        <f>IFERROR(SUMIF($N$12:$N$1036,"131- Funcionamiento",PAA[Valor apropiacion vigencia actual]),0)</f>
        <v>21656617039</v>
      </c>
      <c r="V5" s="138">
        <v>25167465000</v>
      </c>
      <c r="W5" s="78">
        <f>Q5-V5</f>
        <v>0</v>
      </c>
      <c r="Y5" s="76"/>
      <c r="Z5" s="76"/>
      <c r="AA5" s="77"/>
      <c r="AC5" s="62"/>
      <c r="AD5" s="74"/>
      <c r="AE5" s="74"/>
      <c r="AF5" s="62"/>
      <c r="AG5" s="112"/>
    </row>
    <row r="6" spans="1:35" s="65" customFormat="1" ht="15.5" x14ac:dyDescent="0.35">
      <c r="A6" s="65" t="s">
        <v>350</v>
      </c>
      <c r="B6" s="78"/>
      <c r="C6" s="99"/>
      <c r="D6" s="78"/>
      <c r="E6" s="78"/>
      <c r="F6" s="230" t="s">
        <v>1357</v>
      </c>
      <c r="G6" s="230"/>
      <c r="H6" s="230"/>
      <c r="I6" s="230"/>
      <c r="J6" s="230"/>
      <c r="K6" s="230"/>
      <c r="L6" s="230"/>
      <c r="M6" s="230"/>
      <c r="N6" s="232" t="s">
        <v>537</v>
      </c>
      <c r="O6" s="232"/>
      <c r="P6" s="232"/>
      <c r="Q6" s="220">
        <f>IFERROR(SUMIF($N$12:$N$1036,"8173-Modernización de las capacidades del Cuerpo Oficial de Bomberos Bogotá D.C.",PAA[Valor apropiacion vigencia actual]),0)</f>
        <v>42767306000</v>
      </c>
      <c r="R6" s="68"/>
      <c r="S6" s="68"/>
      <c r="T6" s="68"/>
      <c r="V6" s="138">
        <v>42767306000</v>
      </c>
      <c r="W6" s="95">
        <f>Q6-V6</f>
        <v>0</v>
      </c>
      <c r="Y6" s="76"/>
      <c r="Z6" s="76"/>
      <c r="AA6" s="77"/>
      <c r="AC6" s="62"/>
      <c r="AD6" s="74"/>
      <c r="AE6" s="74"/>
      <c r="AF6" s="62"/>
      <c r="AG6" s="112"/>
    </row>
    <row r="7" spans="1:35" s="65" customFormat="1" ht="15.5" x14ac:dyDescent="0.35">
      <c r="B7" s="79"/>
      <c r="C7" s="115"/>
      <c r="D7" s="79"/>
      <c r="E7" s="79"/>
      <c r="F7" s="230" t="s">
        <v>1358</v>
      </c>
      <c r="G7" s="230"/>
      <c r="H7" s="230"/>
      <c r="I7" s="230"/>
      <c r="J7" s="230"/>
      <c r="K7" s="230"/>
      <c r="L7" s="230"/>
      <c r="M7" s="230"/>
      <c r="N7" s="60"/>
      <c r="O7" s="69"/>
      <c r="P7" s="62"/>
      <c r="Q7" s="62"/>
      <c r="R7" s="68"/>
      <c r="S7" s="68"/>
      <c r="T7" s="68"/>
      <c r="V7" s="139"/>
      <c r="Y7" s="80"/>
      <c r="Z7" s="80"/>
      <c r="AA7" s="77"/>
      <c r="AC7" s="62"/>
      <c r="AD7" s="74"/>
      <c r="AE7" s="74"/>
      <c r="AF7" s="62"/>
      <c r="AG7" s="112"/>
    </row>
    <row r="8" spans="1:35" s="65" customFormat="1" ht="15.5" x14ac:dyDescent="0.35">
      <c r="B8" s="78"/>
      <c r="C8" s="99"/>
      <c r="D8" s="78"/>
      <c r="E8" s="78"/>
      <c r="F8" s="78"/>
      <c r="G8" s="99"/>
      <c r="H8" s="152"/>
      <c r="I8" s="135"/>
      <c r="J8" s="95"/>
      <c r="K8" s="78"/>
      <c r="L8" s="70"/>
      <c r="M8" s="81"/>
      <c r="N8" s="66" t="s">
        <v>538</v>
      </c>
      <c r="O8" s="70">
        <f>+Q5+Q6</f>
        <v>67934771000</v>
      </c>
      <c r="P8" s="62"/>
      <c r="Q8" s="66" t="s">
        <v>287</v>
      </c>
      <c r="R8" s="71">
        <f>+U5+O8</f>
        <v>89591388039</v>
      </c>
      <c r="S8" s="71"/>
      <c r="T8" s="71"/>
      <c r="Y8" s="76"/>
      <c r="Z8" s="76"/>
      <c r="AA8" s="74"/>
      <c r="AC8" s="62"/>
      <c r="AD8" s="74"/>
      <c r="AE8" s="74"/>
      <c r="AF8" s="62"/>
      <c r="AG8" s="112"/>
    </row>
    <row r="9" spans="1:35" s="65" customFormat="1" ht="15" x14ac:dyDescent="0.35">
      <c r="B9" s="78"/>
      <c r="C9" s="99"/>
      <c r="D9" s="78"/>
      <c r="E9" s="78"/>
      <c r="F9" s="78"/>
      <c r="G9" s="99"/>
      <c r="H9" s="152"/>
      <c r="I9" s="135"/>
      <c r="J9" s="95"/>
      <c r="K9" s="78"/>
      <c r="L9" s="70"/>
      <c r="M9" s="81"/>
      <c r="N9" s="81"/>
      <c r="O9" s="81"/>
      <c r="P9" s="81"/>
      <c r="Q9" s="59"/>
      <c r="U9" s="82"/>
      <c r="V9" s="83"/>
      <c r="W9" s="83"/>
      <c r="X9" s="64"/>
      <c r="Z9" s="62"/>
      <c r="AA9" s="74"/>
      <c r="AC9" s="62"/>
      <c r="AD9" s="74"/>
      <c r="AE9" s="74"/>
      <c r="AF9" s="62"/>
      <c r="AG9" s="112"/>
      <c r="AH9" s="70"/>
    </row>
    <row r="10" spans="1:35" s="65" customFormat="1" ht="15" x14ac:dyDescent="0.35">
      <c r="B10" s="78"/>
      <c r="C10" s="99"/>
      <c r="D10" s="78"/>
      <c r="E10" s="78"/>
      <c r="F10" s="78"/>
      <c r="G10" s="99"/>
      <c r="H10" s="152"/>
      <c r="I10" s="135"/>
      <c r="J10" s="95"/>
      <c r="K10" s="78"/>
      <c r="L10" s="84"/>
      <c r="M10" s="72"/>
      <c r="N10" s="72"/>
      <c r="O10" s="72"/>
      <c r="P10" s="72"/>
      <c r="U10" s="85"/>
      <c r="V10" s="86"/>
      <c r="W10" s="86"/>
      <c r="X10" s="86"/>
      <c r="Y10" s="87"/>
      <c r="Z10" s="62"/>
      <c r="AA10" s="74"/>
      <c r="AC10" s="62"/>
      <c r="AD10" s="74"/>
      <c r="AE10" s="74"/>
      <c r="AF10" s="62"/>
      <c r="AG10" s="112"/>
    </row>
    <row r="11" spans="1:35" s="100" customFormat="1" ht="84" x14ac:dyDescent="0.35">
      <c r="B11" s="101" t="s">
        <v>360</v>
      </c>
      <c r="C11" s="116" t="s">
        <v>361</v>
      </c>
      <c r="D11" s="101" t="s">
        <v>70</v>
      </c>
      <c r="E11" s="101" t="s">
        <v>364</v>
      </c>
      <c r="F11" s="101" t="s">
        <v>75</v>
      </c>
      <c r="G11" s="102" t="s">
        <v>365</v>
      </c>
      <c r="H11" s="103" t="s">
        <v>69</v>
      </c>
      <c r="I11" s="103" t="s">
        <v>334</v>
      </c>
      <c r="J11" s="105" t="s">
        <v>400</v>
      </c>
      <c r="K11" s="104" t="s">
        <v>399</v>
      </c>
      <c r="L11" s="105" t="s">
        <v>366</v>
      </c>
      <c r="M11" s="106" t="s">
        <v>367</v>
      </c>
      <c r="N11" s="107" t="s">
        <v>368</v>
      </c>
      <c r="O11" s="106" t="s">
        <v>369</v>
      </c>
      <c r="P11" s="108" t="s">
        <v>68</v>
      </c>
      <c r="Q11" s="106" t="s">
        <v>1</v>
      </c>
      <c r="R11" s="106" t="s">
        <v>2</v>
      </c>
      <c r="S11" s="106" t="s">
        <v>371</v>
      </c>
      <c r="T11" s="106" t="s">
        <v>372</v>
      </c>
      <c r="U11" s="109" t="s">
        <v>184</v>
      </c>
      <c r="V11" s="109" t="s">
        <v>185</v>
      </c>
      <c r="W11" s="109" t="s">
        <v>163</v>
      </c>
      <c r="X11" s="107" t="s">
        <v>72</v>
      </c>
      <c r="Y11" s="109" t="s">
        <v>73</v>
      </c>
      <c r="Z11" s="110" t="s">
        <v>285</v>
      </c>
      <c r="AA11" s="107" t="s">
        <v>74</v>
      </c>
      <c r="AB11" s="109" t="s">
        <v>233</v>
      </c>
      <c r="AC11" s="110" t="s">
        <v>263</v>
      </c>
      <c r="AD11" s="110" t="s">
        <v>284</v>
      </c>
      <c r="AE11" s="109" t="s">
        <v>195</v>
      </c>
      <c r="AF11" s="109" t="s">
        <v>220</v>
      </c>
      <c r="AG11" s="113" t="s">
        <v>77</v>
      </c>
      <c r="AH11" s="106" t="s">
        <v>71</v>
      </c>
      <c r="AI11" s="111" t="s">
        <v>370</v>
      </c>
    </row>
    <row r="12" spans="1:35" s="158" customFormat="1" ht="56" x14ac:dyDescent="0.35">
      <c r="B12" s="200">
        <v>20260052</v>
      </c>
      <c r="C12" s="197" t="s">
        <v>575</v>
      </c>
      <c r="D12" s="200" t="s">
        <v>114</v>
      </c>
      <c r="E12" s="200" t="s">
        <v>402</v>
      </c>
      <c r="F12" s="205" t="s">
        <v>138</v>
      </c>
      <c r="G12" s="209" t="s">
        <v>381</v>
      </c>
      <c r="H12" s="210">
        <v>12</v>
      </c>
      <c r="I12" s="210">
        <v>0</v>
      </c>
      <c r="J12" s="203">
        <v>33670032</v>
      </c>
      <c r="K12" s="204" t="s">
        <v>398</v>
      </c>
      <c r="L12" s="205" t="s">
        <v>151</v>
      </c>
      <c r="M12" s="206" t="s">
        <v>401</v>
      </c>
      <c r="N12" s="200" t="s">
        <v>330</v>
      </c>
      <c r="O12" s="211" t="s">
        <v>886</v>
      </c>
      <c r="P12" s="205" t="s">
        <v>161</v>
      </c>
      <c r="Q12" s="207" t="s">
        <v>577</v>
      </c>
      <c r="R12" s="206" t="s">
        <v>331</v>
      </c>
      <c r="S12" s="166" t="str">
        <f>MID(PAA[[#This Row],[Meta Proyecto de Inversión]],1,4)</f>
        <v>No a</v>
      </c>
      <c r="T12" s="166" t="str">
        <f>MID(PAA[[#This Row],[Meta Proyecto de Inversión]],6,2)</f>
        <v>li</v>
      </c>
      <c r="U12" s="208" t="str">
        <f>IFERROR(VLOOKUP(N12,TD!$B$54:$F$58,2,0)," ")</f>
        <v>NA</v>
      </c>
      <c r="V12" s="208" t="str">
        <f>IFERROR(VLOOKUP(N12,TD!$B$54:$F$58,3,0)," ")</f>
        <v>NA</v>
      </c>
      <c r="W12" s="208" t="str">
        <f>IFERROR(VLOOKUP(N12,TD!$B$54:$F$58,4,0)," ")</f>
        <v>NA</v>
      </c>
      <c r="X12" s="206" t="s">
        <v>335</v>
      </c>
      <c r="Y12" s="208" t="str">
        <f>IFERROR(VLOOKUP(X12,TD!$J$55:$K$68,2,0)," ")</f>
        <v>N/A</v>
      </c>
      <c r="Z12" s="168" t="str">
        <f>CONCATENATE(X12,"-",Y12)</f>
        <v>N/A-N/A</v>
      </c>
      <c r="AA12" s="206" t="s">
        <v>335</v>
      </c>
      <c r="AB12" s="208" t="str">
        <f>IFERROR(VLOOKUP(AA12,TD!$N$55:$O$70,2,0)," ")</f>
        <v>N/A</v>
      </c>
      <c r="AC12" s="168" t="str">
        <f>CONCATENATE(AA12,"_",AB12)</f>
        <v>N/A_N/A</v>
      </c>
      <c r="AD12" s="168" t="str">
        <f>CONCATENATE(Z12," ",AC12)</f>
        <v>N/A-N/A N/A_N/A</v>
      </c>
      <c r="AE12" s="208" t="str">
        <f>CONCATENATE(U12,V12,W12,X12,AA12)</f>
        <v>NANANAN/AN/A</v>
      </c>
      <c r="AF12" s="208" t="str">
        <f>IFERROR(VLOOKUP(AD12,TD!$J$70:$K$93,2,0)," ")</f>
        <v>N/A</v>
      </c>
      <c r="AG12" s="199" t="s">
        <v>345</v>
      </c>
      <c r="AH12" s="206" t="s">
        <v>193</v>
      </c>
      <c r="AI12" s="212" t="str">
        <f>CONCATENATE(PAA[[#This Row],[Id Interno]],"-",PAA[[#This Row],[tipo de Contrato (TH talento humano - B/S bienes y/o servicios)]],"-",S12,"-",T12,"-",PAA[[#This Row],[Objeto de la contratación]])</f>
        <v>20260052-BS-No a-li-Contratar  la suscripción de licencias Suite Adobe para la UAE Cuerpo Oficial de Bomberos de Bogotá-TIC</v>
      </c>
    </row>
    <row r="13" spans="1:35" s="158" customFormat="1" ht="42" x14ac:dyDescent="0.35">
      <c r="B13" s="200">
        <v>20260195</v>
      </c>
      <c r="C13" s="197" t="s">
        <v>1119</v>
      </c>
      <c r="D13" s="200" t="s">
        <v>83</v>
      </c>
      <c r="E13" s="200" t="s">
        <v>402</v>
      </c>
      <c r="F13" s="205" t="s">
        <v>101</v>
      </c>
      <c r="G13" s="209" t="s">
        <v>382</v>
      </c>
      <c r="H13" s="210">
        <v>4</v>
      </c>
      <c r="I13" s="210">
        <v>0</v>
      </c>
      <c r="J13" s="203">
        <v>50920000</v>
      </c>
      <c r="K13" s="204" t="s">
        <v>398</v>
      </c>
      <c r="L13" s="205" t="s">
        <v>154</v>
      </c>
      <c r="M13" s="206" t="s">
        <v>438</v>
      </c>
      <c r="N13" s="200" t="s">
        <v>330</v>
      </c>
      <c r="O13" s="211" t="s">
        <v>886</v>
      </c>
      <c r="P13" s="205" t="s">
        <v>161</v>
      </c>
      <c r="Q13" s="207" t="s">
        <v>619</v>
      </c>
      <c r="R13" s="206" t="s">
        <v>331</v>
      </c>
      <c r="S13" s="166" t="str">
        <f>MID(PAA[[#This Row],[Meta Proyecto de Inversión]],1,4)</f>
        <v>No a</v>
      </c>
      <c r="T13" s="166" t="str">
        <f>MID(PAA[[#This Row],[Meta Proyecto de Inversión]],6,2)</f>
        <v>li</v>
      </c>
      <c r="U13" s="208" t="str">
        <f>IFERROR(VLOOKUP(N13,TD!$B$54:$F$58,2,0)," ")</f>
        <v>NA</v>
      </c>
      <c r="V13" s="208" t="str">
        <f>IFERROR(VLOOKUP(N13,TD!$B$54:$F$58,3,0)," ")</f>
        <v>NA</v>
      </c>
      <c r="W13" s="208" t="str">
        <f>IFERROR(VLOOKUP(N13,TD!$B$54:$F$58,4,0)," ")</f>
        <v>NA</v>
      </c>
      <c r="X13" s="206" t="s">
        <v>335</v>
      </c>
      <c r="Y13" s="208" t="str">
        <f>IFERROR(VLOOKUP(X13,TD!$J$55:$K$68,2,0)," ")</f>
        <v>N/A</v>
      </c>
      <c r="Z13" s="168" t="str">
        <f>CONCATENATE(X13,"-",Y13)</f>
        <v>N/A-N/A</v>
      </c>
      <c r="AA13" s="198" t="s">
        <v>335</v>
      </c>
      <c r="AB13" s="208" t="str">
        <f>IFERROR(VLOOKUP(AA13,TD!$N$55:$O$70,2,0)," ")</f>
        <v>N/A</v>
      </c>
      <c r="AC13" s="168" t="str">
        <f>CONCATENATE(AA13,"_",AB13)</f>
        <v>N/A_N/A</v>
      </c>
      <c r="AD13" s="168" t="str">
        <f>CONCATENATE(Z13," ",AC13)</f>
        <v>N/A-N/A N/A_N/A</v>
      </c>
      <c r="AE13" s="208" t="str">
        <f>CONCATENATE(U13,V13,W13,X13,AA13)</f>
        <v>NANANAN/AN/A</v>
      </c>
      <c r="AF13" s="208" t="str">
        <f>IFERROR(VLOOKUP(AD13,TD!$J$70:$K$93,2,0)," ")</f>
        <v>N/A</v>
      </c>
      <c r="AG13" s="199" t="s">
        <v>332</v>
      </c>
      <c r="AH13" s="206" t="s">
        <v>193</v>
      </c>
      <c r="AI13" s="212" t="str">
        <f>CONCATENATE(PAA[[#This Row],[Id Interno]],"-",PAA[[#This Row],[tipo de Contrato (TH talento humano - B/S bienes y/o servicios)]],"-",S13,"-",T13,"-",PAA[[#This Row],[Objeto de la contratación]])</f>
        <v>20260195-BS-No a-li-SGH - Adquirir elementos de protección personal para prevenir la aparición de enfermedades ocupacionales en el oido, de los funcionarios de la UAE Cuerpo Oficial de Bomberos de Bogotá</v>
      </c>
    </row>
    <row r="14" spans="1:35" s="158" customFormat="1" ht="56" x14ac:dyDescent="0.35">
      <c r="B14" s="197">
        <v>20260197</v>
      </c>
      <c r="C14" s="197" t="s">
        <v>1053</v>
      </c>
      <c r="D14" s="197" t="s">
        <v>88</v>
      </c>
      <c r="E14" s="197" t="s">
        <v>402</v>
      </c>
      <c r="F14" s="209" t="s">
        <v>111</v>
      </c>
      <c r="G14" s="209" t="s">
        <v>379</v>
      </c>
      <c r="H14" s="213">
        <v>12</v>
      </c>
      <c r="I14" s="213">
        <v>0</v>
      </c>
      <c r="J14" s="199">
        <f>83151000</f>
        <v>83151000</v>
      </c>
      <c r="K14" s="214" t="s">
        <v>398</v>
      </c>
      <c r="L14" s="209" t="s">
        <v>157</v>
      </c>
      <c r="M14" s="198" t="s">
        <v>483</v>
      </c>
      <c r="N14" s="197" t="s">
        <v>198</v>
      </c>
      <c r="O14" s="211" t="s">
        <v>887</v>
      </c>
      <c r="P14" s="209" t="s">
        <v>348</v>
      </c>
      <c r="Q14" s="215">
        <v>25172500</v>
      </c>
      <c r="R14" s="198" t="s">
        <v>213</v>
      </c>
      <c r="S14" s="166" t="str">
        <f>MID(PAA[[#This Row],[Meta Proyecto de Inversión]],1,4)</f>
        <v>8173</v>
      </c>
      <c r="T14" s="166" t="str">
        <f>MID(PAA[[#This Row],[Meta Proyecto de Inversión]],6,2)</f>
        <v>4-</v>
      </c>
      <c r="U14" s="194" t="str">
        <f>IFERROR(VLOOKUP(N14,TD!$B$54:$F$58,2,0)," ")</f>
        <v>O230117</v>
      </c>
      <c r="V14" s="194" t="str">
        <f>IFERROR(VLOOKUP(N14,TD!$B$54:$F$58,3,0)," ")</f>
        <v>4503</v>
      </c>
      <c r="W14" s="194">
        <f>IFERROR(VLOOKUP(N14,TD!$B$54:$F$58,4,0)," ")</f>
        <v>20240255</v>
      </c>
      <c r="X14" s="198" t="s">
        <v>176</v>
      </c>
      <c r="Y14" s="194" t="str">
        <f>IFERROR(VLOOKUP(X14,TD!$J$55:$K$68,2,0)," ")</f>
        <v>Servicio de mantenimiento, dotación (HEA´s y equipo menor) y adquisición de vehiculos   especializados para la atención de emergencias.</v>
      </c>
      <c r="Z14" s="168" t="str">
        <f>CONCATENATE(X14,"-",Y14)</f>
        <v>09-Servicio de mantenimiento, dotación (HEA´s y equipo menor) y adquisición de vehiculos   especializados para la atención de emergencias.</v>
      </c>
      <c r="AA14" s="198" t="s">
        <v>221</v>
      </c>
      <c r="AB14" s="194" t="str">
        <f>IFERROR(VLOOKUP(AA14,TD!$N$55:$O$70,2,0)," ")</f>
        <v>Servicio de atención a emergencias y desastres</v>
      </c>
      <c r="AC14" s="168" t="str">
        <f>CONCATENATE(AA14,"_",AB14)</f>
        <v>004_Servicio de atención a emergencias y desastres</v>
      </c>
      <c r="AD14" s="168" t="str">
        <f>CONCATENATE(Z14," ",AC14)</f>
        <v>09-Servicio de mantenimiento, dotación (HEA´s y equipo menor) y adquisición de vehiculos   especializados para la atención de emergencias. 004_Servicio de atención a emergencias y desastres</v>
      </c>
      <c r="AE14" s="194" t="str">
        <f>CONCATENATE(U14,V14,W14,X14,AA14)</f>
        <v>O23011745032024025509004</v>
      </c>
      <c r="AF14" s="194" t="str">
        <f>IFERROR(VLOOKUP(AD14,TD!$J$70:$K$93,2,0)," ")</f>
        <v>PM/0131/0109/45030040255</v>
      </c>
      <c r="AG14" s="199" t="s">
        <v>547</v>
      </c>
      <c r="AH14" s="198" t="s">
        <v>193</v>
      </c>
      <c r="AI14" s="217" t="str">
        <f>CONCATENATE(PAA[[#This Row],[Id Interno]],"-",PAA[[#This Row],[tipo de Contrato (TH talento humano - B/S bienes y/o servicios)]],"-",S14,"-",T14,"-",PAA[[#This Row],[Objeto de la contratación]])</f>
        <v>20260197-BS-8173-4--Suministro e instalación de llantas para los vehículos y equipos menores incluye (alineación, balanceo y servicios conexos) de la U.A.E Cuerpo Oficial de Bogotá-SBLG</v>
      </c>
    </row>
    <row r="15" spans="1:35" s="158" customFormat="1" ht="42" x14ac:dyDescent="0.35">
      <c r="B15" s="197">
        <v>20260246</v>
      </c>
      <c r="C15" s="197" t="s">
        <v>492</v>
      </c>
      <c r="D15" s="197" t="s">
        <v>92</v>
      </c>
      <c r="E15" s="197" t="s">
        <v>402</v>
      </c>
      <c r="F15" s="209" t="s">
        <v>111</v>
      </c>
      <c r="G15" s="209" t="s">
        <v>378</v>
      </c>
      <c r="H15" s="213">
        <v>8</v>
      </c>
      <c r="I15" s="213">
        <v>0</v>
      </c>
      <c r="J15" s="199">
        <v>48500000</v>
      </c>
      <c r="K15" s="214" t="s">
        <v>398</v>
      </c>
      <c r="L15" s="209" t="s">
        <v>157</v>
      </c>
      <c r="M15" s="198" t="s">
        <v>483</v>
      </c>
      <c r="N15" s="197" t="s">
        <v>198</v>
      </c>
      <c r="O15" s="211" t="s">
        <v>887</v>
      </c>
      <c r="P15" s="209" t="s">
        <v>348</v>
      </c>
      <c r="Q15" s="215" t="s">
        <v>493</v>
      </c>
      <c r="R15" s="198" t="s">
        <v>213</v>
      </c>
      <c r="S15" s="166" t="str">
        <f>MID(PAA[[#This Row],[Meta Proyecto de Inversión]],1,4)</f>
        <v>8173</v>
      </c>
      <c r="T15" s="166" t="str">
        <f>MID(PAA[[#This Row],[Meta Proyecto de Inversión]],6,2)</f>
        <v>4-</v>
      </c>
      <c r="U15" s="194" t="str">
        <f>IFERROR(VLOOKUP(N15,TD!$B$54:$F$58,2,0)," ")</f>
        <v>O230117</v>
      </c>
      <c r="V15" s="194" t="str">
        <f>IFERROR(VLOOKUP(N15,TD!$B$54:$F$58,3,0)," ")</f>
        <v>4503</v>
      </c>
      <c r="W15" s="194">
        <f>IFERROR(VLOOKUP(N15,TD!$B$54:$F$58,4,0)," ")</f>
        <v>20240255</v>
      </c>
      <c r="X15" s="198" t="s">
        <v>180</v>
      </c>
      <c r="Y15" s="194" t="str">
        <f>IFERROR(VLOOKUP(X15,TD!$J$55:$K$68,2,0)," ")</f>
        <v>Servicio de apoyo   logístico  en eventos operativos y/o emergencias.</v>
      </c>
      <c r="Z15" s="168" t="str">
        <f>CONCATENATE(X15,"-",Y15)</f>
        <v>12-Servicio de apoyo   logístico  en eventos operativos y/o emergencias.</v>
      </c>
      <c r="AA15" s="198" t="s">
        <v>221</v>
      </c>
      <c r="AB15" s="194" t="str">
        <f>IFERROR(VLOOKUP(AA15,TD!$N$55:$O$70,2,0)," ")</f>
        <v>Servicio de atención a emergencias y desastres</v>
      </c>
      <c r="AC15" s="168" t="str">
        <f>CONCATENATE(AA15,"_",AB15)</f>
        <v>004_Servicio de atención a emergencias y desastres</v>
      </c>
      <c r="AD15" s="168" t="str">
        <f>CONCATENATE(Z15," ",AC15)</f>
        <v>12-Servicio de apoyo   logístico  en eventos operativos y/o emergencias. 004_Servicio de atención a emergencias y desastres</v>
      </c>
      <c r="AE15" s="194" t="str">
        <f>CONCATENATE(U15,V15,W15,X15,AA15)</f>
        <v>O23011745032024025512004</v>
      </c>
      <c r="AF15" s="194" t="str">
        <f>IFERROR(VLOOKUP(AD15,TD!$J$70:$K$93,2,0)," ")</f>
        <v>PM/0131/0112/45030040255</v>
      </c>
      <c r="AG15" s="199" t="s">
        <v>125</v>
      </c>
      <c r="AH15" s="198" t="s">
        <v>193</v>
      </c>
      <c r="AI15" s="217" t="str">
        <f>CONCATENATE(PAA[[#This Row],[Id Interno]],"-",PAA[[#This Row],[tipo de Contrato (TH talento humano - B/S bienes y/o servicios)]],"-",S15,"-",T15,"-",PAA[[#This Row],[Objeto de la contratación]])</f>
        <v>20260246-BS-8173-4--Contratar el suministro de alimentación para los caninos del cuerpo oficial y animales rescatados por la U.A.E. del Cuerpo Oficial de Bomberos de Bogotá –  SBLG</v>
      </c>
    </row>
    <row r="16" spans="1:35" s="158" customFormat="1" ht="70" x14ac:dyDescent="0.35">
      <c r="B16" s="197">
        <v>20260249</v>
      </c>
      <c r="C16" s="197" t="s">
        <v>497</v>
      </c>
      <c r="D16" s="197" t="s">
        <v>92</v>
      </c>
      <c r="E16" s="197" t="s">
        <v>402</v>
      </c>
      <c r="F16" s="209" t="s">
        <v>89</v>
      </c>
      <c r="G16" s="209" t="s">
        <v>379</v>
      </c>
      <c r="H16" s="213">
        <v>8</v>
      </c>
      <c r="I16" s="213">
        <v>0</v>
      </c>
      <c r="J16" s="199">
        <v>14134560</v>
      </c>
      <c r="K16" s="214" t="s">
        <v>398</v>
      </c>
      <c r="L16" s="209" t="s">
        <v>157</v>
      </c>
      <c r="M16" s="198" t="s">
        <v>483</v>
      </c>
      <c r="N16" s="197" t="s">
        <v>198</v>
      </c>
      <c r="O16" s="211" t="s">
        <v>887</v>
      </c>
      <c r="P16" s="209" t="s">
        <v>348</v>
      </c>
      <c r="Q16" s="215" t="s">
        <v>498</v>
      </c>
      <c r="R16" s="198" t="s">
        <v>213</v>
      </c>
      <c r="S16" s="166" t="str">
        <f>MID(PAA[[#This Row],[Meta Proyecto de Inversión]],1,4)</f>
        <v>8173</v>
      </c>
      <c r="T16" s="166" t="str">
        <f>MID(PAA[[#This Row],[Meta Proyecto de Inversión]],6,2)</f>
        <v>4-</v>
      </c>
      <c r="U16" s="194" t="str">
        <f>IFERROR(VLOOKUP(N16,TD!$B$54:$F$58,2,0)," ")</f>
        <v>O230117</v>
      </c>
      <c r="V16" s="194" t="str">
        <f>IFERROR(VLOOKUP(N16,TD!$B$54:$F$58,3,0)," ")</f>
        <v>4503</v>
      </c>
      <c r="W16" s="194">
        <f>IFERROR(VLOOKUP(N16,TD!$B$54:$F$58,4,0)," ")</f>
        <v>20240255</v>
      </c>
      <c r="X16" s="198" t="s">
        <v>180</v>
      </c>
      <c r="Y16" s="194" t="str">
        <f>IFERROR(VLOOKUP(X16,TD!$J$55:$K$68,2,0)," ")</f>
        <v>Servicio de apoyo   logístico  en eventos operativos y/o emergencias.</v>
      </c>
      <c r="Z16" s="168" t="str">
        <f>CONCATENATE(X16,"-",Y16)</f>
        <v>12-Servicio de apoyo   logístico  en eventos operativos y/o emergencias.</v>
      </c>
      <c r="AA16" s="198" t="s">
        <v>221</v>
      </c>
      <c r="AB16" s="194" t="str">
        <f>IFERROR(VLOOKUP(AA16,TD!$N$55:$O$70,2,0)," ")</f>
        <v>Servicio de atención a emergencias y desastres</v>
      </c>
      <c r="AC16" s="168" t="str">
        <f>CONCATENATE(AA16,"_",AB16)</f>
        <v>004_Servicio de atención a emergencias y desastres</v>
      </c>
      <c r="AD16" s="168" t="str">
        <f>CONCATENATE(Z16," ",AC16)</f>
        <v>12-Servicio de apoyo   logístico  en eventos operativos y/o emergencias. 004_Servicio de atención a emergencias y desastres</v>
      </c>
      <c r="AE16" s="194" t="str">
        <f>CONCATENATE(U16,V16,W16,X16,AA16)</f>
        <v>O23011745032024025512004</v>
      </c>
      <c r="AF16" s="194" t="str">
        <f>IFERROR(VLOOKUP(AD16,TD!$J$70:$K$93,2,0)," ")</f>
        <v>PM/0131/0112/45030040255</v>
      </c>
      <c r="AG16" s="199" t="s">
        <v>125</v>
      </c>
      <c r="AH16" s="198" t="s">
        <v>193</v>
      </c>
      <c r="AI16" s="217" t="str">
        <f>CONCATENATE(PAA[[#This Row],[Id Interno]],"-",PAA[[#This Row],[tipo de Contrato (TH talento humano - B/S bienes y/o servicios)]],"-",S16,"-",T16,"-",PAA[[#This Row],[Objeto de la contratación]])</f>
        <v>20260249-BS-8173-4--Prestación de servicios médicos veterinarios, con suministro de medicamentos e insumos veterinarios y otros, para los caninos de la U.A.E. Cuerpo Oficial de Bomberos de Bogotá -  SBLG</v>
      </c>
    </row>
    <row r="17" spans="2:35" s="158" customFormat="1" ht="70" x14ac:dyDescent="0.35">
      <c r="B17" s="197">
        <v>20260255</v>
      </c>
      <c r="C17" s="197" t="s">
        <v>935</v>
      </c>
      <c r="D17" s="197" t="s">
        <v>105</v>
      </c>
      <c r="E17" s="197" t="s">
        <v>402</v>
      </c>
      <c r="F17" s="209" t="s">
        <v>89</v>
      </c>
      <c r="G17" s="209" t="s">
        <v>375</v>
      </c>
      <c r="H17" s="213">
        <v>4</v>
      </c>
      <c r="I17" s="213">
        <v>0</v>
      </c>
      <c r="J17" s="199">
        <v>26104301</v>
      </c>
      <c r="K17" s="214" t="s">
        <v>398</v>
      </c>
      <c r="L17" s="209" t="s">
        <v>157</v>
      </c>
      <c r="M17" s="198" t="s">
        <v>483</v>
      </c>
      <c r="N17" s="197" t="s">
        <v>198</v>
      </c>
      <c r="O17" s="211" t="s">
        <v>887</v>
      </c>
      <c r="P17" s="209" t="s">
        <v>348</v>
      </c>
      <c r="Q17" s="215">
        <v>72101509</v>
      </c>
      <c r="R17" s="198" t="s">
        <v>213</v>
      </c>
      <c r="S17" s="166" t="str">
        <f>MID(PAA[[#This Row],[Meta Proyecto de Inversión]],1,4)</f>
        <v>8173</v>
      </c>
      <c r="T17" s="166" t="str">
        <f>MID(PAA[[#This Row],[Meta Proyecto de Inversión]],6,2)</f>
        <v>4-</v>
      </c>
      <c r="U17" s="194" t="str">
        <f>IFERROR(VLOOKUP(N17,TD!$B$54:$F$58,2,0)," ")</f>
        <v>O230117</v>
      </c>
      <c r="V17" s="194" t="str">
        <f>IFERROR(VLOOKUP(N17,TD!$B$54:$F$58,3,0)," ")</f>
        <v>4503</v>
      </c>
      <c r="W17" s="194">
        <f>IFERROR(VLOOKUP(N17,TD!$B$54:$F$58,4,0)," ")</f>
        <v>20240255</v>
      </c>
      <c r="X17" s="198" t="s">
        <v>176</v>
      </c>
      <c r="Y17" s="194" t="str">
        <f>IFERROR(VLOOKUP(X17,TD!$J$55:$K$68,2,0)," ")</f>
        <v>Servicio de mantenimiento, dotación (HEA´s y equipo menor) y adquisición de vehiculos   especializados para la atención de emergencias.</v>
      </c>
      <c r="Z17" s="168" t="str">
        <f>CONCATENATE(X17,"-",Y17)</f>
        <v>09-Servicio de mantenimiento, dotación (HEA´s y equipo menor) y adquisición de vehiculos   especializados para la atención de emergencias.</v>
      </c>
      <c r="AA17" s="198" t="s">
        <v>221</v>
      </c>
      <c r="AB17" s="194" t="str">
        <f>IFERROR(VLOOKUP(AA17,TD!$N$55:$O$70,2,0)," ")</f>
        <v>Servicio de atención a emergencias y desastres</v>
      </c>
      <c r="AC17" s="168" t="str">
        <f>CONCATENATE(AA17,"_",AB17)</f>
        <v>004_Servicio de atención a emergencias y desastres</v>
      </c>
      <c r="AD17" s="168" t="str">
        <f>CONCATENATE(Z17," ",AC17)</f>
        <v>09-Servicio de mantenimiento, dotación (HEA´s y equipo menor) y adquisición de vehiculos   especializados para la atención de emergencias. 004_Servicio de atención a emergencias y desastres</v>
      </c>
      <c r="AE17" s="194" t="str">
        <f>CONCATENATE(U17,V17,W17,X17,AA17)</f>
        <v>O23011745032024025509004</v>
      </c>
      <c r="AF17" s="194" t="str">
        <f>IFERROR(VLOOKUP(AD17,TD!$J$70:$K$93,2,0)," ")</f>
        <v>PM/0131/0109/45030040255</v>
      </c>
      <c r="AG17" s="199" t="s">
        <v>80</v>
      </c>
      <c r="AH17" s="198" t="s">
        <v>194</v>
      </c>
      <c r="AI17" s="217" t="str">
        <f>CONCATENATE(PAA[[#This Row],[Id Interno]],"-",PAA[[#This Row],[tipo de Contrato (TH talento humano - B/S bienes y/o servicios)]],"-",S17,"-",T17,"-",PAA[[#This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18" spans="2:35" s="158" customFormat="1" ht="70" x14ac:dyDescent="0.35">
      <c r="B18" s="197">
        <v>20260320</v>
      </c>
      <c r="C18" s="197" t="s">
        <v>1035</v>
      </c>
      <c r="D18" s="197" t="s">
        <v>105</v>
      </c>
      <c r="E18" s="197" t="s">
        <v>363</v>
      </c>
      <c r="F18" s="209" t="s">
        <v>145</v>
      </c>
      <c r="G18" s="209" t="s">
        <v>379</v>
      </c>
      <c r="H18" s="213">
        <v>5</v>
      </c>
      <c r="I18" s="213">
        <v>0</v>
      </c>
      <c r="J18" s="199">
        <v>22450000</v>
      </c>
      <c r="K18" s="214" t="s">
        <v>398</v>
      </c>
      <c r="L18" s="209" t="s">
        <v>158</v>
      </c>
      <c r="M18" s="198" t="s">
        <v>421</v>
      </c>
      <c r="N18" s="197" t="s">
        <v>198</v>
      </c>
      <c r="O18" s="211" t="s">
        <v>887</v>
      </c>
      <c r="P18" s="209" t="s">
        <v>348</v>
      </c>
      <c r="Q18" s="215">
        <v>80111600</v>
      </c>
      <c r="R18" s="198" t="s">
        <v>210</v>
      </c>
      <c r="S18" s="166" t="str">
        <f>MID(PAA[[#This Row],[Meta Proyecto de Inversión]],1,4)</f>
        <v>8173</v>
      </c>
      <c r="T18" s="166" t="str">
        <f>MID(PAA[[#This Row],[Meta Proyecto de Inversión]],6,2)</f>
        <v>1-</v>
      </c>
      <c r="U18" s="208" t="str">
        <f>IFERROR(VLOOKUP(N18,TD!$B$54:$F$58,2,0)," ")</f>
        <v>O230117</v>
      </c>
      <c r="V18" s="208" t="str">
        <f>IFERROR(VLOOKUP(N18,TD!$B$54:$F$58,3,0)," ")</f>
        <v>4503</v>
      </c>
      <c r="W18" s="208">
        <f>IFERROR(VLOOKUP(N18,TD!$B$54:$F$58,4,0)," ")</f>
        <v>20240255</v>
      </c>
      <c r="X18" s="206" t="s">
        <v>164</v>
      </c>
      <c r="Y18" s="208" t="str">
        <f>IFERROR(VLOOKUP(X18,TD!$J$55:$K$68,2,0)," ")</f>
        <v>Servicio de atención a incidentes y emergencias.</v>
      </c>
      <c r="Z18" s="168" t="str">
        <f>CONCATENATE(X18,"-",Y18)</f>
        <v>04-Servicio de atención a incidentes y emergencias.</v>
      </c>
      <c r="AA18" s="206" t="s">
        <v>221</v>
      </c>
      <c r="AB18" s="208" t="str">
        <f>IFERROR(VLOOKUP(AA18,TD!$N$55:$O$70,2,0)," ")</f>
        <v>Servicio de atención a emergencias y desastres</v>
      </c>
      <c r="AC18" s="168" t="str">
        <f>CONCATENATE(AA18,"_",AB18)</f>
        <v>004_Servicio de atención a emergencias y desastres</v>
      </c>
      <c r="AD18" s="168" t="str">
        <f>CONCATENATE(Z18," ",AC18)</f>
        <v>04-Servicio de atención a incidentes y emergencias. 004_Servicio de atención a emergencias y desastres</v>
      </c>
      <c r="AE18" s="208" t="str">
        <f>CONCATENATE(U18,V18,W18,X18,AA18)</f>
        <v>O23011745032024025504004</v>
      </c>
      <c r="AF18" s="208" t="str">
        <f>IFERROR(VLOOKUP(AD18,TD!$J$70:$K$93,2,0)," ")</f>
        <v>PM/0131/0104/45030040255</v>
      </c>
      <c r="AG18" s="199" t="s">
        <v>385</v>
      </c>
      <c r="AH18" s="206" t="s">
        <v>193</v>
      </c>
      <c r="AI18" s="212" t="str">
        <f>CONCATENATE(PAA[[#This Row],[Id Interno]],"-",PAA[[#This Row],[tipo de Contrato (TH talento humano - B/S bienes y/o servicios)]],"-",S18,"-",T18,"-",PAA[[#This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19" spans="2:35" s="158" customFormat="1" ht="42" x14ac:dyDescent="0.35">
      <c r="B19" s="200">
        <v>20260403</v>
      </c>
      <c r="C19" s="197" t="s">
        <v>638</v>
      </c>
      <c r="D19" s="200" t="s">
        <v>105</v>
      </c>
      <c r="E19" s="200" t="s">
        <v>363</v>
      </c>
      <c r="F19" s="205" t="s">
        <v>145</v>
      </c>
      <c r="G19" s="209" t="s">
        <v>373</v>
      </c>
      <c r="H19" s="210">
        <v>11</v>
      </c>
      <c r="I19" s="210">
        <v>0</v>
      </c>
      <c r="J19" s="203">
        <v>26274624</v>
      </c>
      <c r="K19" s="204" t="s">
        <v>398</v>
      </c>
      <c r="L19" s="205" t="s">
        <v>155</v>
      </c>
      <c r="M19" s="206" t="s">
        <v>422</v>
      </c>
      <c r="N19" s="200" t="s">
        <v>197</v>
      </c>
      <c r="O19" s="211" t="s">
        <v>886</v>
      </c>
      <c r="P19" s="205" t="s">
        <v>348</v>
      </c>
      <c r="Q19" s="219" t="s">
        <v>725</v>
      </c>
      <c r="R19" s="206" t="s">
        <v>208</v>
      </c>
      <c r="S19" s="166" t="str">
        <f>MID(PAA[[#This Row],[Meta Proyecto de Inversión]],1,4)</f>
        <v>8126</v>
      </c>
      <c r="T19" s="166" t="str">
        <f>MID(PAA[[#This Row],[Meta Proyecto de Inversión]],6,2)</f>
        <v>9-</v>
      </c>
      <c r="U19" s="208" t="str">
        <f>IFERROR(VLOOKUP(N19,TD!$B$54:$F$58,2,0)," ")</f>
        <v>O230117</v>
      </c>
      <c r="V19" s="208" t="str">
        <f>IFERROR(VLOOKUP(N19,TD!$B$54:$F$58,3,0)," ")</f>
        <v>4599</v>
      </c>
      <c r="W19" s="208">
        <f>IFERROR(VLOOKUP(N19,TD!$B$54:$F$58,4,0)," ")</f>
        <v>20240207</v>
      </c>
      <c r="X19" s="206" t="s">
        <v>174</v>
      </c>
      <c r="Y19" s="208" t="str">
        <f>IFERROR(VLOOKUP(X19,TD!$J$55:$K$68,2,0)," ")</f>
        <v>Infraestructura física, mantenimiento y dotación (Sedes construidas, mantenidas reforzadas)</v>
      </c>
      <c r="Z19" s="168" t="str">
        <f>CONCATENATE(X19,"-",Y19)</f>
        <v>08-Infraestructura física, mantenimiento y dotación (Sedes construidas, mantenidas reforzadas)</v>
      </c>
      <c r="AA19" s="206" t="s">
        <v>227</v>
      </c>
      <c r="AB19" s="208" t="str">
        <f>IFERROR(VLOOKUP(AA19,TD!$N$55:$O$70,2,0)," ")</f>
        <v>Sedes mantenidas</v>
      </c>
      <c r="AC19" s="168" t="str">
        <f>CONCATENATE(AA19,"_",AB19)</f>
        <v>016_Sedes mantenidas</v>
      </c>
      <c r="AD19" s="168" t="str">
        <f>CONCATENATE(Z19," ",AC19)</f>
        <v>08-Infraestructura física, mantenimiento y dotación (Sedes construidas, mantenidas reforzadas) 016_Sedes mantenidas</v>
      </c>
      <c r="AE19" s="208" t="str">
        <f>CONCATENATE(U19,V19,W19,X19,AA19)</f>
        <v>O23011745992024020708016</v>
      </c>
      <c r="AF19" s="208" t="str">
        <f>IFERROR(VLOOKUP(AD19,TD!$J$70:$K$93,2,0)," ")</f>
        <v>PM/0131/0108/45990160207</v>
      </c>
      <c r="AG19" s="199" t="s">
        <v>385</v>
      </c>
      <c r="AH19" s="206" t="s">
        <v>193</v>
      </c>
      <c r="AI19" s="212" t="str">
        <f>CONCATENATE(PAA[[#This Row],[Id Interno]],"-",PAA[[#This Row],[tipo de Contrato (TH talento humano - B/S bienes y/o servicios)]],"-",S19,"-",T19,"-",PAA[[#This Row],[Objeto de la contratación]])</f>
        <v>20260403-TH-8126-9--Prestación de servicios de apoyo a la gestión en la ejecución de los planes y programas de servicio al ciudadano a cargo de la Subdirección de Gestión Corporativa.-SGC</v>
      </c>
    </row>
    <row r="20" spans="2:35" s="158" customFormat="1" ht="56" x14ac:dyDescent="0.35">
      <c r="B20" s="197">
        <v>20260539</v>
      </c>
      <c r="C20" s="197" t="s">
        <v>721</v>
      </c>
      <c r="D20" s="197" t="s">
        <v>92</v>
      </c>
      <c r="E20" s="197" t="s">
        <v>402</v>
      </c>
      <c r="F20" s="197" t="s">
        <v>101</v>
      </c>
      <c r="G20" s="201" t="s">
        <v>375</v>
      </c>
      <c r="H20" s="218">
        <v>3</v>
      </c>
      <c r="I20" s="213">
        <v>0</v>
      </c>
      <c r="J20" s="199">
        <v>32427500</v>
      </c>
      <c r="K20" s="214" t="s">
        <v>398</v>
      </c>
      <c r="L20" s="209" t="s">
        <v>155</v>
      </c>
      <c r="M20" s="198" t="s">
        <v>422</v>
      </c>
      <c r="N20" s="197" t="s">
        <v>198</v>
      </c>
      <c r="O20" s="211" t="s">
        <v>887</v>
      </c>
      <c r="P20" s="198" t="s">
        <v>348</v>
      </c>
      <c r="Q20" s="215" t="s">
        <v>744</v>
      </c>
      <c r="R20" s="198" t="s">
        <v>351</v>
      </c>
      <c r="S20" s="166" t="str">
        <f>MID(PAA[[#This Row],[Meta Proyecto de Inversión]],1,4)</f>
        <v>8173</v>
      </c>
      <c r="T20" s="166" t="str">
        <f>MID(PAA[[#This Row],[Meta Proyecto de Inversión]],6,2)</f>
        <v>11</v>
      </c>
      <c r="U20" s="194" t="str">
        <f>IFERROR(VLOOKUP(N20,TD!$B$54:$F$58,2,0)," ")</f>
        <v>O230117</v>
      </c>
      <c r="V20" s="194" t="str">
        <f>IFERROR(VLOOKUP(N20,TD!$B$54:$F$58,3,0)," ")</f>
        <v>4503</v>
      </c>
      <c r="W20" s="194">
        <f>IFERROR(VLOOKUP(N20,TD!$B$54:$F$58,4,0)," ")</f>
        <v>20240255</v>
      </c>
      <c r="X20" s="198">
        <v>14</v>
      </c>
      <c r="Y20" s="194" t="str">
        <f>IFERROR(VLOOKUP(X20,TD!$J$55:$K$68,2,0)," ")</f>
        <v xml:space="preserve">Infraestructura física misional construida mantenida y dotada </v>
      </c>
      <c r="Z20" s="168" t="str">
        <f>CONCATENATE(X20,"-",Y20)</f>
        <v xml:space="preserve">14-Infraestructura física misional construida mantenida y dotada </v>
      </c>
      <c r="AA20" s="198" t="s">
        <v>225</v>
      </c>
      <c r="AB20" s="194" t="str">
        <f>IFERROR(VLOOKUP(AA20,TD!$N$55:$O$70,2,0)," ")</f>
        <v>Estaciones de bomberos adecuadas</v>
      </c>
      <c r="AC20" s="168" t="str">
        <f>CONCATENATE(AA20,"_",AB20)</f>
        <v>014_Estaciones de bomberos adecuadas</v>
      </c>
      <c r="AD20" s="168" t="str">
        <f>CONCATENATE(Z20," ",AC20)</f>
        <v>14-Infraestructura física misional construida mantenida y dotada  014_Estaciones de bomberos adecuadas</v>
      </c>
      <c r="AE20" s="194" t="str">
        <f>CONCATENATE(U20,V20,W20,X20,AA20)</f>
        <v>O23011745032024025514014</v>
      </c>
      <c r="AF20" s="194" t="str">
        <f>IFERROR(VLOOKUP(AD20,TD!$J$70:$K$93,2,0)," ")</f>
        <v>PM/0131/0114/45030140255</v>
      </c>
      <c r="AG20" s="199" t="s">
        <v>80</v>
      </c>
      <c r="AH20" s="198" t="s">
        <v>193</v>
      </c>
      <c r="AI20" s="217" t="str">
        <f>CONCATENATE(PAA[[#This Row],[Id Interno]],"-",PAA[[#This Row],[tipo de Contrato (TH talento humano - B/S bienes y/o servicios)]],"-",S20,"-",T20,"-",PAA[[#This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21" spans="2:35" s="158" customFormat="1" ht="70" x14ac:dyDescent="0.35">
      <c r="B21" s="197">
        <v>20260635</v>
      </c>
      <c r="C21" s="197" t="s">
        <v>925</v>
      </c>
      <c r="D21" s="200" t="s">
        <v>78</v>
      </c>
      <c r="E21" s="200" t="s">
        <v>402</v>
      </c>
      <c r="F21" s="200" t="s">
        <v>89</v>
      </c>
      <c r="G21" s="201" t="s">
        <v>377</v>
      </c>
      <c r="H21" s="202">
        <v>0</v>
      </c>
      <c r="I21" s="202">
        <v>0</v>
      </c>
      <c r="J21" s="203">
        <v>238909870</v>
      </c>
      <c r="K21" s="204" t="s">
        <v>398</v>
      </c>
      <c r="L21" s="205" t="s">
        <v>155</v>
      </c>
      <c r="M21" s="206" t="s">
        <v>422</v>
      </c>
      <c r="N21" s="200" t="s">
        <v>197</v>
      </c>
      <c r="O21" s="206" t="s">
        <v>886</v>
      </c>
      <c r="P21" s="206" t="s">
        <v>348</v>
      </c>
      <c r="Q21" s="207" t="s">
        <v>722</v>
      </c>
      <c r="R21" s="206" t="s">
        <v>207</v>
      </c>
      <c r="S21" s="166" t="str">
        <f>MID(PAA[[#This Row],[Meta Proyecto de Inversión]],1,4)</f>
        <v>8126</v>
      </c>
      <c r="T21" s="166" t="str">
        <f>MID(PAA[[#This Row],[Meta Proyecto de Inversión]],6,2)</f>
        <v>8-</v>
      </c>
      <c r="U21" s="208" t="str">
        <f>IFERROR(VLOOKUP(N21,TD!$B$54:$F$58,2,0)," ")</f>
        <v>O230117</v>
      </c>
      <c r="V21" s="208" t="str">
        <f>IFERROR(VLOOKUP(N21,TD!$B$54:$F$58,3,0)," ")</f>
        <v>4599</v>
      </c>
      <c r="W21" s="208">
        <f>IFERROR(VLOOKUP(N21,TD!$B$54:$F$58,4,0)," ")</f>
        <v>20240207</v>
      </c>
      <c r="X21" s="206" t="s">
        <v>174</v>
      </c>
      <c r="Y21" s="208" t="str">
        <f>IFERROR(VLOOKUP(X21,TD!$J$55:$K$68,2,0)," ")</f>
        <v>Infraestructura física, mantenimiento y dotación (Sedes construidas, mantenidas reforzadas)</v>
      </c>
      <c r="Z21" s="168" t="str">
        <f>CONCATENATE(X21,"-",Y21)</f>
        <v>08-Infraestructura física, mantenimiento y dotación (Sedes construidas, mantenidas reforzadas)</v>
      </c>
      <c r="AA21" s="206" t="s">
        <v>227</v>
      </c>
      <c r="AB21" s="208" t="str">
        <f>IFERROR(VLOOKUP(AA21,TD!$N$55:$O$70,2,0)," ")</f>
        <v>Sedes mantenidas</v>
      </c>
      <c r="AC21" s="168" t="str">
        <f>CONCATENATE(AA21,"_",AB21)</f>
        <v>016_Sedes mantenidas</v>
      </c>
      <c r="AD21" s="168" t="str">
        <f>CONCATENATE(Z21," ",AC21)</f>
        <v>08-Infraestructura física, mantenimiento y dotación (Sedes construidas, mantenidas reforzadas) 016_Sedes mantenidas</v>
      </c>
      <c r="AE21" s="208" t="str">
        <f>CONCATENATE(U21,V21,W21,X21,AA21)</f>
        <v>O23011745992024020708016</v>
      </c>
      <c r="AF21" s="208" t="str">
        <f>IFERROR(VLOOKUP(AD21,TD!$J$70:$K$93,2,0)," ")</f>
        <v>PM/0131/0108/45990160207</v>
      </c>
      <c r="AG21" s="199" t="s">
        <v>132</v>
      </c>
      <c r="AH21" s="206" t="s">
        <v>194</v>
      </c>
      <c r="AI21" s="227" t="str">
        <f>CONCATENATE(PAA[[#This Row],[Id Interno]],"-",PAA[[#This Row],[tipo de Contrato (TH talento humano - B/S bienes y/o servicios)]],"-",S21,"-",T21,"-",PAA[[#This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22" spans="2:35" s="158" customFormat="1" ht="56" x14ac:dyDescent="0.35">
      <c r="B22" s="200">
        <v>20260659</v>
      </c>
      <c r="C22" s="197" t="s">
        <v>936</v>
      </c>
      <c r="D22" s="200" t="s">
        <v>119</v>
      </c>
      <c r="E22" s="200" t="s">
        <v>402</v>
      </c>
      <c r="F22" s="200" t="s">
        <v>128</v>
      </c>
      <c r="G22" s="201" t="s">
        <v>375</v>
      </c>
      <c r="H22" s="202">
        <v>6</v>
      </c>
      <c r="I22" s="202">
        <v>0</v>
      </c>
      <c r="J22" s="203">
        <v>45860535</v>
      </c>
      <c r="K22" s="204" t="s">
        <v>398</v>
      </c>
      <c r="L22" s="205" t="s">
        <v>154</v>
      </c>
      <c r="M22" s="206" t="s">
        <v>438</v>
      </c>
      <c r="N22" s="200" t="s">
        <v>330</v>
      </c>
      <c r="O22" s="206" t="s">
        <v>886</v>
      </c>
      <c r="P22" s="206" t="s">
        <v>161</v>
      </c>
      <c r="Q22" s="207" t="s">
        <v>335</v>
      </c>
      <c r="R22" s="206" t="s">
        <v>331</v>
      </c>
      <c r="S22" s="166" t="str">
        <f>MID(PAA[[#This Row],[Meta Proyecto de Inversión]],1,4)</f>
        <v>No a</v>
      </c>
      <c r="T22" s="166" t="str">
        <f>MID(PAA[[#This Row],[Meta Proyecto de Inversión]],6,2)</f>
        <v>li</v>
      </c>
      <c r="U22" s="208" t="str">
        <f>IFERROR(VLOOKUP(N22,TD!$B$54:$F$58,2,0)," ")</f>
        <v>NA</v>
      </c>
      <c r="V22" s="208" t="str">
        <f>IFERROR(VLOOKUP(N22,TD!$B$54:$F$58,3,0)," ")</f>
        <v>NA</v>
      </c>
      <c r="W22" s="208" t="str">
        <f>IFERROR(VLOOKUP(N22,TD!$B$54:$F$58,4,0)," ")</f>
        <v>NA</v>
      </c>
      <c r="X22" s="206" t="s">
        <v>335</v>
      </c>
      <c r="Y22" s="208" t="str">
        <f>IFERROR(VLOOKUP(X22,TD!$J$55:$K$68,2,0)," ")</f>
        <v>N/A</v>
      </c>
      <c r="Z22" s="168" t="str">
        <f>CONCATENATE(X22,"-",Y22)</f>
        <v>N/A-N/A</v>
      </c>
      <c r="AA22" s="206" t="s">
        <v>335</v>
      </c>
      <c r="AB22" s="208" t="str">
        <f>IFERROR(VLOOKUP(AA22,TD!$N$55:$O$70,2,0)," ")</f>
        <v>N/A</v>
      </c>
      <c r="AC22" s="168" t="str">
        <f>CONCATENATE(AA22,"_",AB22)</f>
        <v>N/A_N/A</v>
      </c>
      <c r="AD22" s="168" t="str">
        <f>CONCATENATE(Z22," ",AC22)</f>
        <v>N/A-N/A N/A_N/A</v>
      </c>
      <c r="AE22" s="208" t="str">
        <f>CONCATENATE(U22,V22,W22,X22,AA22)</f>
        <v>NANANAN/AN/A</v>
      </c>
      <c r="AF22" s="208" t="str">
        <f>IFERROR(VLOOKUP(AD22,TD!$J$70:$K$93,2,0)," ")</f>
        <v>N/A</v>
      </c>
      <c r="AG22" s="199" t="s">
        <v>332</v>
      </c>
      <c r="AH22" s="206" t="s">
        <v>193</v>
      </c>
      <c r="AI22" s="227" t="str">
        <f>CONCATENATE(PAA[[#This Row],[Id Interno]],"-",PAA[[#This Row],[tipo de Contrato (TH talento humano - B/S bienes y/o servicios)]],"-",S22,"-",T22,"-",PAA[[#This Row],[Objeto de la contratación]])</f>
        <v>20260659-BS-No a-li-SGH - Utilización lista de elegibles CNSC para provisión de vacantes</v>
      </c>
    </row>
    <row r="23" spans="2:35" s="158" customFormat="1" ht="42" x14ac:dyDescent="0.35">
      <c r="B23" s="197">
        <v>20260684</v>
      </c>
      <c r="C23" s="197" t="s">
        <v>952</v>
      </c>
      <c r="D23" s="197" t="s">
        <v>78</v>
      </c>
      <c r="E23" s="197" t="s">
        <v>402</v>
      </c>
      <c r="F23" s="197" t="s">
        <v>97</v>
      </c>
      <c r="G23" s="201" t="s">
        <v>379</v>
      </c>
      <c r="H23" s="218">
        <v>10</v>
      </c>
      <c r="I23" s="218">
        <v>0</v>
      </c>
      <c r="J23" s="199">
        <v>218693801</v>
      </c>
      <c r="K23" s="214" t="s">
        <v>398</v>
      </c>
      <c r="L23" s="209" t="s">
        <v>155</v>
      </c>
      <c r="M23" s="198" t="s">
        <v>422</v>
      </c>
      <c r="N23" s="197" t="s">
        <v>198</v>
      </c>
      <c r="O23" s="198" t="s">
        <v>887</v>
      </c>
      <c r="P23" s="198" t="s">
        <v>348</v>
      </c>
      <c r="Q23" s="215" t="s">
        <v>723</v>
      </c>
      <c r="R23" s="198" t="s">
        <v>216</v>
      </c>
      <c r="S23" s="166" t="str">
        <f>MID(PAA[[#This Row],[Meta Proyecto de Inversión]],1,4)</f>
        <v>8173</v>
      </c>
      <c r="T23" s="166" t="str">
        <f>MID(PAA[[#This Row],[Meta Proyecto de Inversión]],6,2)</f>
        <v>7-</v>
      </c>
      <c r="U23" s="194" t="str">
        <f>IFERROR(VLOOKUP(N23,TD!$B$54:$F$58,2,0)," ")</f>
        <v>O230117</v>
      </c>
      <c r="V23" s="194" t="str">
        <f>IFERROR(VLOOKUP(N23,TD!$B$54:$F$58,3,0)," ")</f>
        <v>4503</v>
      </c>
      <c r="W23" s="194">
        <f>IFERROR(VLOOKUP(N23,TD!$B$54:$F$58,4,0)," ")</f>
        <v>20240255</v>
      </c>
      <c r="X23" s="198">
        <v>14</v>
      </c>
      <c r="Y23" s="194" t="str">
        <f>IFERROR(VLOOKUP(X23,TD!$J$55:$K$68,2,0)," ")</f>
        <v xml:space="preserve">Infraestructura física misional construida mantenida y dotada </v>
      </c>
      <c r="Z23" s="168" t="str">
        <f>CONCATENATE(X23,"-",Y23)</f>
        <v xml:space="preserve">14-Infraestructura física misional construida mantenida y dotada </v>
      </c>
      <c r="AA23" s="198" t="s">
        <v>225</v>
      </c>
      <c r="AB23" s="194" t="str">
        <f>IFERROR(VLOOKUP(AA23,TD!$N$55:$O$70,2,0)," ")</f>
        <v>Estaciones de bomberos adecuadas</v>
      </c>
      <c r="AC23" s="168" t="str">
        <f>CONCATENATE(AA23,"_",AB23)</f>
        <v>014_Estaciones de bomberos adecuadas</v>
      </c>
      <c r="AD23" s="168" t="str">
        <f>CONCATENATE(Z23," ",AC23)</f>
        <v>14-Infraestructura física misional construida mantenida y dotada  014_Estaciones de bomberos adecuadas</v>
      </c>
      <c r="AE23" s="194" t="str">
        <f>CONCATENATE(U23,V23,W23,X23,AA23)</f>
        <v>O23011745032024025514014</v>
      </c>
      <c r="AF23" s="194" t="str">
        <f>IFERROR(VLOOKUP(AD23,TD!$J$70:$K$93,2,0)," ")</f>
        <v>PM/0131/0114/45030140255</v>
      </c>
      <c r="AG23" s="199" t="s">
        <v>94</v>
      </c>
      <c r="AH23" s="198" t="s">
        <v>193</v>
      </c>
      <c r="AI23" s="227" t="str">
        <f>CONCATENATE(PAA[[#This Row],[Id Interno]],"-",PAA[[#This Row],[tipo de Contrato (TH talento humano - B/S bienes y/o servicios)]],"-",S23,"-",T23,"-",PAA[[#This Row],[Objeto de la contratación]])</f>
        <v>20260684-BS-8173-7--Realizar la adecuación y mejoramiento de las instalaciones de La Unidad Administrativa Especial Cuerpo Oficial de Bomberos de Bogotá D.C. – SGC.C</v>
      </c>
    </row>
    <row r="24" spans="2:35" s="158" customFormat="1" ht="42" x14ac:dyDescent="0.35">
      <c r="B24" s="200">
        <v>20260704</v>
      </c>
      <c r="C24" s="197" t="s">
        <v>430</v>
      </c>
      <c r="D24" s="200" t="s">
        <v>105</v>
      </c>
      <c r="E24" s="200" t="s">
        <v>402</v>
      </c>
      <c r="F24" s="200" t="s">
        <v>138</v>
      </c>
      <c r="G24" s="201" t="s">
        <v>383</v>
      </c>
      <c r="H24" s="202">
        <v>12</v>
      </c>
      <c r="I24" s="202">
        <v>0</v>
      </c>
      <c r="J24" s="203">
        <v>95044968</v>
      </c>
      <c r="K24" s="204" t="s">
        <v>398</v>
      </c>
      <c r="L24" s="205" t="s">
        <v>151</v>
      </c>
      <c r="M24" s="206" t="s">
        <v>401</v>
      </c>
      <c r="N24" s="200" t="s">
        <v>330</v>
      </c>
      <c r="O24" s="206" t="s">
        <v>886</v>
      </c>
      <c r="P24" s="206" t="s">
        <v>161</v>
      </c>
      <c r="Q24" s="207">
        <v>81112217</v>
      </c>
      <c r="R24" s="206" t="s">
        <v>331</v>
      </c>
      <c r="S24" s="166" t="str">
        <f>MID(PAA[[#This Row],[Meta Proyecto de Inversión]],1,4)</f>
        <v>No a</v>
      </c>
      <c r="T24" s="166" t="str">
        <f>MID(PAA[[#This Row],[Meta Proyecto de Inversión]],6,2)</f>
        <v>li</v>
      </c>
      <c r="U24" s="208" t="str">
        <f>IFERROR(VLOOKUP(N24,TD!$B$54:$F$58,2,0)," ")</f>
        <v>NA</v>
      </c>
      <c r="V24" s="208" t="str">
        <f>IFERROR(VLOOKUP(N24,TD!$B$54:$F$58,3,0)," ")</f>
        <v>NA</v>
      </c>
      <c r="W24" s="208" t="str">
        <f>IFERROR(VLOOKUP(N24,TD!$B$54:$F$58,4,0)," ")</f>
        <v>NA</v>
      </c>
      <c r="X24" s="206" t="s">
        <v>335</v>
      </c>
      <c r="Y24" s="194" t="str">
        <f>IFERROR(VLOOKUP(X24,TD!$J$55:$K$68,2,0)," ")</f>
        <v>N/A</v>
      </c>
      <c r="Z24" s="168" t="str">
        <f>CONCATENATE(X24,"-",Y24)</f>
        <v>N/A-N/A</v>
      </c>
      <c r="AA24" s="206" t="s">
        <v>335</v>
      </c>
      <c r="AB24" s="194" t="str">
        <f>IFERROR(VLOOKUP(AA24,TD!$N$55:$O$70,2,0)," ")</f>
        <v>N/A</v>
      </c>
      <c r="AC24" s="168" t="str">
        <f>CONCATENATE(AA24,"_",AB24)</f>
        <v>N/A_N/A</v>
      </c>
      <c r="AD24" s="168" t="str">
        <f>CONCATENATE(Z24," ",AC24)</f>
        <v>N/A-N/A N/A_N/A</v>
      </c>
      <c r="AE24" s="208" t="str">
        <f>CONCATENATE(U24,V24,W24,X24,AA24)</f>
        <v>NANANAN/AN/A</v>
      </c>
      <c r="AF24" s="194" t="str">
        <f>IFERROR(VLOOKUP(AD24,TD!$J$70:$K$93,2,0)," ")</f>
        <v>N/A</v>
      </c>
      <c r="AG24" s="199" t="s">
        <v>345</v>
      </c>
      <c r="AH24" s="206" t="s">
        <v>193</v>
      </c>
      <c r="AI24" s="227" t="str">
        <f>CONCATENATE(PAA[[#This Row],[Id Interno]],"-",PAA[[#This Row],[tipo de Contrato (TH talento humano - B/S bienes y/o servicios)]],"-",S24,"-",T24,"-",PAA[[#This Row],[Objeto de la contratación]])</f>
        <v>20260704-BS-No a-li-Contratar el servicio de actualización y soporte de licenciamiento ArcGIS para la U.A.E. Cuerpo Oficial de Bomberos de Bogotá.- TIC</v>
      </c>
    </row>
    <row r="25" spans="2:35" s="158" customFormat="1" ht="42" x14ac:dyDescent="0.35">
      <c r="B25" s="200">
        <v>20260706</v>
      </c>
      <c r="C25" s="197" t="s">
        <v>431</v>
      </c>
      <c r="D25" s="200" t="s">
        <v>88</v>
      </c>
      <c r="E25" s="200" t="s">
        <v>402</v>
      </c>
      <c r="F25" s="200" t="s">
        <v>101</v>
      </c>
      <c r="G25" s="201" t="s">
        <v>382</v>
      </c>
      <c r="H25" s="202">
        <v>12</v>
      </c>
      <c r="I25" s="202">
        <v>0</v>
      </c>
      <c r="J25" s="203">
        <v>55695000</v>
      </c>
      <c r="K25" s="204" t="s">
        <v>398</v>
      </c>
      <c r="L25" s="205" t="s">
        <v>151</v>
      </c>
      <c r="M25" s="206" t="s">
        <v>401</v>
      </c>
      <c r="N25" s="200" t="s">
        <v>330</v>
      </c>
      <c r="O25" s="206" t="s">
        <v>886</v>
      </c>
      <c r="P25" s="206" t="s">
        <v>161</v>
      </c>
      <c r="Q25" s="207">
        <v>43222635</v>
      </c>
      <c r="R25" s="206" t="s">
        <v>331</v>
      </c>
      <c r="S25" s="166" t="str">
        <f>MID(PAA[[#This Row],[Meta Proyecto de Inversión]],1,4)</f>
        <v>No a</v>
      </c>
      <c r="T25" s="166" t="str">
        <f>MID(PAA[[#This Row],[Meta Proyecto de Inversión]],6,2)</f>
        <v>li</v>
      </c>
      <c r="U25" s="208" t="str">
        <f>IFERROR(VLOOKUP(N25,TD!$B$54:$F$58,2,0)," ")</f>
        <v>NA</v>
      </c>
      <c r="V25" s="208" t="str">
        <f>IFERROR(VLOOKUP(N25,TD!$B$54:$F$58,3,0)," ")</f>
        <v>NA</v>
      </c>
      <c r="W25" s="208" t="str">
        <f>IFERROR(VLOOKUP(N25,TD!$B$54:$F$58,4,0)," ")</f>
        <v>NA</v>
      </c>
      <c r="X25" s="206" t="s">
        <v>335</v>
      </c>
      <c r="Y25" s="194" t="str">
        <f>IFERROR(VLOOKUP(X25,TD!$J$55:$K$68,2,0)," ")</f>
        <v>N/A</v>
      </c>
      <c r="Z25" s="168" t="str">
        <f>CONCATENATE(X25,"-",Y25)</f>
        <v>N/A-N/A</v>
      </c>
      <c r="AA25" s="206" t="s">
        <v>335</v>
      </c>
      <c r="AB25" s="194" t="str">
        <f>IFERROR(VLOOKUP(AA25,TD!$N$55:$O$70,2,0)," ")</f>
        <v>N/A</v>
      </c>
      <c r="AC25" s="168" t="str">
        <f>CONCATENATE(AA25,"_",AB25)</f>
        <v>N/A_N/A</v>
      </c>
      <c r="AD25" s="168" t="str">
        <f>CONCATENATE(Z25," ",AC25)</f>
        <v>N/A-N/A N/A_N/A</v>
      </c>
      <c r="AE25" s="208" t="str">
        <f>CONCATENATE(U25,V25,W25,X25,AA25)</f>
        <v>NANANAN/AN/A</v>
      </c>
      <c r="AF25" s="194" t="str">
        <f>IFERROR(VLOOKUP(AD25,TD!$J$70:$K$93,2,0)," ")</f>
        <v>N/A</v>
      </c>
      <c r="AG25" s="199" t="s">
        <v>345</v>
      </c>
      <c r="AH25" s="206" t="s">
        <v>193</v>
      </c>
      <c r="AI25" s="227" t="str">
        <f>CONCATENATE(PAA[[#This Row],[Id Interno]],"-",PAA[[#This Row],[tipo de Contrato (TH talento humano - B/S bienes y/o servicios)]],"-",S25,"-",T25,"-",PAA[[#This Row],[Objeto de la contratación]])</f>
        <v>20260706-BS-No a-li-Contratar la renovación de garantía y soporte de fabrica de los equipos activos que hacen parte de la infraestructura tecnológica de la U.A.E. Cuerpo Oficial de Bomberos de Bogotá.</v>
      </c>
    </row>
    <row r="26" spans="2:35" s="158" customFormat="1" ht="56" x14ac:dyDescent="0.35">
      <c r="B26" s="209">
        <v>20260714</v>
      </c>
      <c r="C26" s="197" t="s">
        <v>995</v>
      </c>
      <c r="D26" s="200" t="s">
        <v>105</v>
      </c>
      <c r="E26" s="200" t="s">
        <v>363</v>
      </c>
      <c r="F26" s="200" t="s">
        <v>145</v>
      </c>
      <c r="G26" s="209" t="s">
        <v>380</v>
      </c>
      <c r="H26" s="210">
        <v>4</v>
      </c>
      <c r="I26" s="210">
        <v>15</v>
      </c>
      <c r="J26" s="203">
        <v>10500000</v>
      </c>
      <c r="K26" s="204" t="s">
        <v>398</v>
      </c>
      <c r="L26" s="205" t="s">
        <v>158</v>
      </c>
      <c r="M26" s="206" t="s">
        <v>421</v>
      </c>
      <c r="N26" s="200" t="s">
        <v>198</v>
      </c>
      <c r="O26" s="206" t="s">
        <v>887</v>
      </c>
      <c r="P26" s="206" t="s">
        <v>348</v>
      </c>
      <c r="Q26" s="207">
        <v>80111600</v>
      </c>
      <c r="R26" s="206" t="s">
        <v>211</v>
      </c>
      <c r="S26" s="166" t="str">
        <f>MID(PAA[[#This Row],[Meta Proyecto de Inversión]],1,4)</f>
        <v>8173</v>
      </c>
      <c r="T26" s="166" t="str">
        <f>MID(PAA[[#This Row],[Meta Proyecto de Inversión]],6,2)</f>
        <v>2-</v>
      </c>
      <c r="U26" s="208" t="str">
        <f>IFERROR(VLOOKUP(N26,TD!$B$54:$F$58,2,0)," ")</f>
        <v>O230117</v>
      </c>
      <c r="V26" s="208" t="str">
        <f>IFERROR(VLOOKUP(N26,TD!$B$54:$F$58,3,0)," ")</f>
        <v>4503</v>
      </c>
      <c r="W26" s="208">
        <f>IFERROR(VLOOKUP(N26,TD!$B$54:$F$58,4,0)," ")</f>
        <v>20240255</v>
      </c>
      <c r="X26" s="206" t="s">
        <v>164</v>
      </c>
      <c r="Y26" s="194" t="str">
        <f>IFERROR(VLOOKUP(X26,TD!$J$55:$K$68,2,0)," ")</f>
        <v>Servicio de atención a incidentes y emergencias.</v>
      </c>
      <c r="Z26" s="168" t="str">
        <f>CONCATENATE(X26,"-",Y26)</f>
        <v>04-Servicio de atención a incidentes y emergencias.</v>
      </c>
      <c r="AA26" s="206" t="s">
        <v>221</v>
      </c>
      <c r="AB26" s="194" t="str">
        <f>IFERROR(VLOOKUP(AA26,TD!$N$55:$O$70,2,0)," ")</f>
        <v>Servicio de atención a emergencias y desastres</v>
      </c>
      <c r="AC26" s="168" t="str">
        <f>CONCATENATE(AA26,"_",AB26)</f>
        <v>004_Servicio de atención a emergencias y desastres</v>
      </c>
      <c r="AD26" s="168" t="str">
        <f>CONCATENATE(Z26," ",AC26)</f>
        <v>04-Servicio de atención a incidentes y emergencias. 004_Servicio de atención a emergencias y desastres</v>
      </c>
      <c r="AE26" s="208" t="str">
        <f>CONCATENATE(U26,V26,W26,X26,AA26)</f>
        <v>O23011745032024025504004</v>
      </c>
      <c r="AF26" s="194" t="str">
        <f>IFERROR(VLOOKUP(AD26,TD!$J$70:$K$93,2,0)," ")</f>
        <v>PM/0131/0104/45030040255</v>
      </c>
      <c r="AG26" s="199" t="s">
        <v>385</v>
      </c>
      <c r="AH26" s="206" t="s">
        <v>193</v>
      </c>
      <c r="AI26" s="227" t="str">
        <f>CONCATENATE(PAA[[#This Row],[Id Interno]],"-",PAA[[#This Row],[tipo de Contrato (TH talento humano - B/S bienes y/o servicios)]],"-",S26,"-",T26,"-",PAA[[#This Row],[Objeto de la contratación]])</f>
        <v>20260714-TH-8173-2--Prestar los servicios de  apoyo para el proceso de comunicaciones en emergencias del centro de coordinación y comunicaciones (c.c.c.), para el desarrollo de los programas a cargo de la Subdirección Operativa-S.O.</v>
      </c>
    </row>
    <row r="27" spans="2:35" s="158" customFormat="1" ht="70" x14ac:dyDescent="0.35">
      <c r="B27" s="197">
        <v>20260762</v>
      </c>
      <c r="C27" s="197" t="s">
        <v>1046</v>
      </c>
      <c r="D27" s="200" t="s">
        <v>88</v>
      </c>
      <c r="E27" s="200" t="s">
        <v>402</v>
      </c>
      <c r="F27" s="200" t="s">
        <v>101</v>
      </c>
      <c r="G27" s="201" t="s">
        <v>378</v>
      </c>
      <c r="H27" s="202">
        <v>1</v>
      </c>
      <c r="I27" s="202">
        <v>0</v>
      </c>
      <c r="J27" s="203">
        <v>10760832</v>
      </c>
      <c r="K27" s="204" t="s">
        <v>398</v>
      </c>
      <c r="L27" s="205" t="s">
        <v>155</v>
      </c>
      <c r="M27" s="206" t="s">
        <v>422</v>
      </c>
      <c r="N27" s="200" t="s">
        <v>198</v>
      </c>
      <c r="O27" s="206" t="s">
        <v>887</v>
      </c>
      <c r="P27" s="206" t="s">
        <v>348</v>
      </c>
      <c r="Q27" s="207" t="s">
        <v>1047</v>
      </c>
      <c r="R27" s="206" t="s">
        <v>351</v>
      </c>
      <c r="S27" s="166" t="str">
        <f>MID(PAA[[#This Row],[Meta Proyecto de Inversión]],1,4)</f>
        <v>8173</v>
      </c>
      <c r="T27" s="166" t="str">
        <f>MID(PAA[[#This Row],[Meta Proyecto de Inversión]],6,2)</f>
        <v>11</v>
      </c>
      <c r="U27" s="208" t="str">
        <f>IFERROR(VLOOKUP(N27,TD!$B$54:$F$58,2,0)," ")</f>
        <v>O230117</v>
      </c>
      <c r="V27" s="208" t="str">
        <f>IFERROR(VLOOKUP(N27,TD!$B$54:$F$58,3,0)," ")</f>
        <v>4503</v>
      </c>
      <c r="W27" s="208">
        <f>IFERROR(VLOOKUP(N27,TD!$B$54:$F$58,4,0)," ")</f>
        <v>20240255</v>
      </c>
      <c r="X27" s="206">
        <v>14</v>
      </c>
      <c r="Y27" s="194" t="str">
        <f>IFERROR(VLOOKUP(X27,TD!$J$55:$K$68,2,0)," ")</f>
        <v xml:space="preserve">Infraestructura física misional construida mantenida y dotada </v>
      </c>
      <c r="Z27" s="168" t="str">
        <f>CONCATENATE(X27,"-",Y27)</f>
        <v xml:space="preserve">14-Infraestructura física misional construida mantenida y dotada </v>
      </c>
      <c r="AA27" s="206" t="s">
        <v>225</v>
      </c>
      <c r="AB27" s="194" t="str">
        <f>IFERROR(VLOOKUP(AA27,TD!$N$55:$O$70,2,0)," ")</f>
        <v>Estaciones de bomberos adecuadas</v>
      </c>
      <c r="AC27" s="168" t="str">
        <f>CONCATENATE(AA27,"_",AB27)</f>
        <v>014_Estaciones de bomberos adecuadas</v>
      </c>
      <c r="AD27" s="168" t="str">
        <f>CONCATENATE(Z27," ",AC27)</f>
        <v>14-Infraestructura física misional construida mantenida y dotada  014_Estaciones de bomberos adecuadas</v>
      </c>
      <c r="AE27" s="208" t="str">
        <f>CONCATENATE(U27,V27,W27,X27,AA27)</f>
        <v>O23011745032024025514014</v>
      </c>
      <c r="AF27" s="194" t="str">
        <f>IFERROR(VLOOKUP(AD27,TD!$J$70:$K$93,2,0)," ")</f>
        <v>PM/0131/0114/45030140255</v>
      </c>
      <c r="AG27" s="199" t="s">
        <v>354</v>
      </c>
      <c r="AH27" s="206" t="s">
        <v>194</v>
      </c>
      <c r="AI27" s="227" t="str">
        <f>CONCATENATE(PAA[[#This Row],[Id Interno]],"-",PAA[[#This Row],[tipo de Contrato (TH talento humano - B/S bienes y/o servicios)]],"-",S27,"-",T27,"-",PAA[[#This Row],[Objeto de la contratación]])</f>
        <v>20260762-BS-8173-11-Adición No. 1  prórroga No. 3 al contrato 703 de 2025 con objeto" Adquisición de elementos para el fortalecimiento de la imagen institucional y la identidad visual de la UAECOB-SGC.</v>
      </c>
    </row>
    <row r="28" spans="2:35" s="158" customFormat="1" ht="56" x14ac:dyDescent="0.35">
      <c r="B28" s="200">
        <v>20260773</v>
      </c>
      <c r="C28" s="197" t="s">
        <v>1348</v>
      </c>
      <c r="D28" s="200" t="s">
        <v>105</v>
      </c>
      <c r="E28" s="200" t="s">
        <v>363</v>
      </c>
      <c r="F28" s="200" t="s">
        <v>144</v>
      </c>
      <c r="G28" s="201" t="s">
        <v>383</v>
      </c>
      <c r="H28" s="202">
        <v>2</v>
      </c>
      <c r="I28" s="202">
        <v>0</v>
      </c>
      <c r="J28" s="203">
        <v>10322174</v>
      </c>
      <c r="K28" s="204" t="s">
        <v>398</v>
      </c>
      <c r="L28" s="205" t="s">
        <v>151</v>
      </c>
      <c r="M28" s="206" t="s">
        <v>401</v>
      </c>
      <c r="N28" s="200" t="s">
        <v>197</v>
      </c>
      <c r="O28" s="206" t="s">
        <v>886</v>
      </c>
      <c r="P28" s="206" t="s">
        <v>348</v>
      </c>
      <c r="Q28" s="207">
        <v>80111600</v>
      </c>
      <c r="R28" s="206" t="s">
        <v>203</v>
      </c>
      <c r="S28" s="166" t="str">
        <f>MID(PAA[[#This Row],[Meta Proyecto de Inversión]],1,4)</f>
        <v>8126</v>
      </c>
      <c r="T28" s="166" t="str">
        <f>MID(PAA[[#This Row],[Meta Proyecto de Inversión]],6,2)</f>
        <v>4-</v>
      </c>
      <c r="U28" s="208" t="str">
        <f>IFERROR(VLOOKUP(N28,TD!$B$54:$F$58,2,0)," ")</f>
        <v>O230117</v>
      </c>
      <c r="V28" s="208" t="str">
        <f>IFERROR(VLOOKUP(N28,TD!$B$54:$F$58,3,0)," ")</f>
        <v>4599</v>
      </c>
      <c r="W28" s="208">
        <f>IFERROR(VLOOKUP(N28,TD!$B$54:$F$58,4,0)," ")</f>
        <v>20240207</v>
      </c>
      <c r="X28" s="206" t="s">
        <v>168</v>
      </c>
      <c r="Y28" s="194" t="str">
        <f>IFERROR(VLOOKUP(X28,TD!$J$55:$K$68,2,0)," ")</f>
        <v>Infraestructura Tecnológica   (Sistemas de Información y Tecnologia)</v>
      </c>
      <c r="Z28" s="168" t="str">
        <f>CONCATENATE(X28,"-",Y28)</f>
        <v>11-Infraestructura Tecnológica   (Sistemas de Información y Tecnologia)</v>
      </c>
      <c r="AA28" s="206" t="s">
        <v>228</v>
      </c>
      <c r="AB28" s="194" t="str">
        <f>IFERROR(VLOOKUP(AA28,TD!$N$55:$O$70,2,0)," ")</f>
        <v>Servicios tecnológicos</v>
      </c>
      <c r="AC28" s="168" t="str">
        <f>CONCATENATE(AA28,"_",AB28)</f>
        <v>007_Servicios tecnológicos</v>
      </c>
      <c r="AD28" s="168" t="str">
        <f>CONCATENATE(Z28," ",AC28)</f>
        <v>11-Infraestructura Tecnológica   (Sistemas de Información y Tecnologia) 007_Servicios tecnológicos</v>
      </c>
      <c r="AE28" s="208" t="str">
        <f>CONCATENATE(U28,V28,W28,X28,AA28)</f>
        <v>O23011745992024020711007</v>
      </c>
      <c r="AF28" s="194" t="str">
        <f>IFERROR(VLOOKUP(AD28,TD!$J$70:$K$93,2,0)," ")</f>
        <v>PM/0131/0111/45990070207</v>
      </c>
      <c r="AG28" s="199" t="s">
        <v>385</v>
      </c>
      <c r="AH28" s="206" t="s">
        <v>193</v>
      </c>
      <c r="AI28" s="227" t="str">
        <f>CONCATENATE(PAA[[#This Row],[Id Interno]],"-",PAA[[#This Row],[tipo de Contrato (TH talento humano - B/S bienes y/o servicios)]],"-",S28,"-",T28,"-",PAA[[#This Row],[Objeto de la contratación]])</f>
        <v>20260773-TH-8126-4--Prestar servicios profesionales para apoyar el seguimiento, fortalecimiento y mejora funcional de las herramientas misionales que sirven de soporte a los procesos y procedimientos de la U.A.E. Cuerpo Oficial de Bomberos de Bogotá.</v>
      </c>
    </row>
    <row r="29" spans="2:35" s="158" customFormat="1" ht="56" x14ac:dyDescent="0.35">
      <c r="B29" s="200">
        <v>20260845</v>
      </c>
      <c r="C29" s="197" t="s">
        <v>1118</v>
      </c>
      <c r="D29" s="200" t="s">
        <v>105</v>
      </c>
      <c r="E29" s="200" t="s">
        <v>402</v>
      </c>
      <c r="F29" s="200" t="s">
        <v>89</v>
      </c>
      <c r="G29" s="201" t="s">
        <v>380</v>
      </c>
      <c r="H29" s="202">
        <v>10</v>
      </c>
      <c r="I29" s="202">
        <v>0</v>
      </c>
      <c r="J29" s="203">
        <v>192652750</v>
      </c>
      <c r="K29" s="204" t="s">
        <v>398</v>
      </c>
      <c r="L29" s="205" t="s">
        <v>154</v>
      </c>
      <c r="M29" s="206" t="s">
        <v>438</v>
      </c>
      <c r="N29" s="200" t="s">
        <v>330</v>
      </c>
      <c r="O29" s="206" t="s">
        <v>886</v>
      </c>
      <c r="P29" s="206" t="s">
        <v>161</v>
      </c>
      <c r="Q29" s="207" t="s">
        <v>618</v>
      </c>
      <c r="R29" s="206" t="s">
        <v>331</v>
      </c>
      <c r="S29" s="166" t="str">
        <f>MID(PAA[[#This Row],[Meta Proyecto de Inversión]],1,4)</f>
        <v>No a</v>
      </c>
      <c r="T29" s="166" t="str">
        <f>MID(PAA[[#This Row],[Meta Proyecto de Inversión]],6,2)</f>
        <v>li</v>
      </c>
      <c r="U29" s="208" t="str">
        <f>IFERROR(VLOOKUP(N29,TD!$B$54:$F$58,2,0)," ")</f>
        <v>NA</v>
      </c>
      <c r="V29" s="208" t="str">
        <f>IFERROR(VLOOKUP(N29,TD!$B$54:$F$58,3,0)," ")</f>
        <v>NA</v>
      </c>
      <c r="W29" s="208" t="str">
        <f>IFERROR(VLOOKUP(N29,TD!$B$54:$F$58,4,0)," ")</f>
        <v>NA</v>
      </c>
      <c r="X29" s="206" t="s">
        <v>335</v>
      </c>
      <c r="Y29" s="194" t="str">
        <f>IFERROR(VLOOKUP(X29,TD!$J$55:$K$68,2,0)," ")</f>
        <v>N/A</v>
      </c>
      <c r="Z29" s="168" t="str">
        <f>CONCATENATE(X29,"-",Y29)</f>
        <v>N/A-N/A</v>
      </c>
      <c r="AA29" s="206" t="s">
        <v>335</v>
      </c>
      <c r="AB29" s="194" t="str">
        <f>IFERROR(VLOOKUP(AA29,TD!$N$55:$O$70,2,0)," ")</f>
        <v>N/A</v>
      </c>
      <c r="AC29" s="168" t="str">
        <f>CONCATENATE(AA29,"_",AB29)</f>
        <v>N/A_N/A</v>
      </c>
      <c r="AD29" s="168" t="str">
        <f>CONCATENATE(Z29," ",AC29)</f>
        <v>N/A-N/A N/A_N/A</v>
      </c>
      <c r="AE29" s="208" t="str">
        <f>CONCATENATE(U29,V29,W29,X29,AA29)</f>
        <v>NANANAN/AN/A</v>
      </c>
      <c r="AF29" s="194" t="str">
        <f>IFERROR(VLOOKUP(AD29,TD!$J$70:$K$93,2,0)," ")</f>
        <v>N/A</v>
      </c>
      <c r="AG29" s="199" t="s">
        <v>332</v>
      </c>
      <c r="AH29" s="206" t="s">
        <v>194</v>
      </c>
      <c r="AI29" s="227" t="str">
        <f>CONCATENATE(PAA[[#This Row],[Id Interno]],"-",PAA[[#This Row],[tipo de Contrato (TH talento humano - B/S bienes y/o servicios)]],"-",S29,"-",T29,"-",PAA[[#This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30" spans="2:35" s="158" customFormat="1" ht="70" x14ac:dyDescent="0.35">
      <c r="B30" s="200">
        <v>20260846</v>
      </c>
      <c r="C30" s="197" t="s">
        <v>1116</v>
      </c>
      <c r="D30" s="200" t="s">
        <v>92</v>
      </c>
      <c r="E30" s="200" t="s">
        <v>402</v>
      </c>
      <c r="F30" s="200" t="s">
        <v>89</v>
      </c>
      <c r="G30" s="201" t="s">
        <v>380</v>
      </c>
      <c r="H30" s="202">
        <v>5</v>
      </c>
      <c r="I30" s="202">
        <v>0</v>
      </c>
      <c r="J30" s="203">
        <v>15347250</v>
      </c>
      <c r="K30" s="204" t="s">
        <v>398</v>
      </c>
      <c r="L30" s="205" t="s">
        <v>154</v>
      </c>
      <c r="M30" s="206" t="s">
        <v>438</v>
      </c>
      <c r="N30" s="200" t="s">
        <v>330</v>
      </c>
      <c r="O30" s="206" t="s">
        <v>886</v>
      </c>
      <c r="P30" s="206" t="s">
        <v>161</v>
      </c>
      <c r="Q30" s="207" t="s">
        <v>1117</v>
      </c>
      <c r="R30" s="206" t="s">
        <v>331</v>
      </c>
      <c r="S30" s="166" t="str">
        <f>MID(PAA[[#This Row],[Meta Proyecto de Inversión]],1,4)</f>
        <v>No a</v>
      </c>
      <c r="T30" s="166" t="str">
        <f>MID(PAA[[#This Row],[Meta Proyecto de Inversión]],6,2)</f>
        <v>li</v>
      </c>
      <c r="U30" s="208" t="str">
        <f>IFERROR(VLOOKUP(N30,TD!$B$54:$F$58,2,0)," ")</f>
        <v>NA</v>
      </c>
      <c r="V30" s="208" t="str">
        <f>IFERROR(VLOOKUP(N30,TD!$B$54:$F$58,3,0)," ")</f>
        <v>NA</v>
      </c>
      <c r="W30" s="208" t="str">
        <f>IFERROR(VLOOKUP(N30,TD!$B$54:$F$58,4,0)," ")</f>
        <v>NA</v>
      </c>
      <c r="X30" s="206" t="s">
        <v>335</v>
      </c>
      <c r="Y30" s="194" t="str">
        <f>IFERROR(VLOOKUP(X30,TD!$J$55:$K$68,2,0)," ")</f>
        <v>N/A</v>
      </c>
      <c r="Z30" s="168" t="str">
        <f>CONCATENATE(X30,"-",Y30)</f>
        <v>N/A-N/A</v>
      </c>
      <c r="AA30" s="206" t="s">
        <v>335</v>
      </c>
      <c r="AB30" s="194" t="str">
        <f>IFERROR(VLOOKUP(AA30,TD!$N$55:$O$70,2,0)," ")</f>
        <v>N/A</v>
      </c>
      <c r="AC30" s="168" t="str">
        <f>CONCATENATE(AA30,"_",AB30)</f>
        <v>N/A_N/A</v>
      </c>
      <c r="AD30" s="168" t="str">
        <f>CONCATENATE(Z30," ",AC30)</f>
        <v>N/A-N/A N/A_N/A</v>
      </c>
      <c r="AE30" s="208" t="str">
        <f>CONCATENATE(U30,V30,W30,X30,AA30)</f>
        <v>NANANAN/AN/A</v>
      </c>
      <c r="AF30" s="194" t="str">
        <f>IFERROR(VLOOKUP(AD30,TD!$J$70:$K$93,2,0)," ")</f>
        <v>N/A</v>
      </c>
      <c r="AG30" s="199" t="s">
        <v>332</v>
      </c>
      <c r="AH30" s="206" t="s">
        <v>193</v>
      </c>
      <c r="AI30" s="227" t="str">
        <f>CONCATENATE(PAA[[#This Row],[Id Interno]],"-",PAA[[#This Row],[tipo de Contrato (TH talento humano - B/S bienes y/o servicios)]],"-",S30,"-",T30,"-",PAA[[#This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31" spans="2:35" s="158" customFormat="1" ht="70" x14ac:dyDescent="0.35">
      <c r="B31" s="197">
        <v>20260863</v>
      </c>
      <c r="C31" s="197" t="s">
        <v>1138</v>
      </c>
      <c r="D31" s="197" t="s">
        <v>105</v>
      </c>
      <c r="E31" s="197" t="s">
        <v>363</v>
      </c>
      <c r="F31" s="197" t="s">
        <v>144</v>
      </c>
      <c r="G31" s="201" t="s">
        <v>382</v>
      </c>
      <c r="H31" s="218">
        <v>3</v>
      </c>
      <c r="I31" s="218">
        <v>0</v>
      </c>
      <c r="J31" s="199">
        <f>28960000</f>
        <v>28960000</v>
      </c>
      <c r="K31" s="214" t="s">
        <v>398</v>
      </c>
      <c r="L31" s="209" t="s">
        <v>153</v>
      </c>
      <c r="M31" s="198" t="s">
        <v>420</v>
      </c>
      <c r="N31" s="197" t="s">
        <v>197</v>
      </c>
      <c r="O31" s="198" t="s">
        <v>886</v>
      </c>
      <c r="P31" s="198" t="s">
        <v>348</v>
      </c>
      <c r="Q31" s="215">
        <v>80111600</v>
      </c>
      <c r="R31" s="198" t="s">
        <v>208</v>
      </c>
      <c r="S31" s="171" t="str">
        <f>MID(PAA[[#This Row],[Meta Proyecto de Inversión]],1,4)</f>
        <v>8126</v>
      </c>
      <c r="T31" s="171" t="str">
        <f>MID(PAA[[#This Row],[Meta Proyecto de Inversión]],6,2)</f>
        <v>9-</v>
      </c>
      <c r="U31" s="194" t="str">
        <f>IFERROR(VLOOKUP(N31,TD!$B$54:$F$58,2,0)," ")</f>
        <v>O230117</v>
      </c>
      <c r="V31" s="194" t="str">
        <f>IFERROR(VLOOKUP(N31,TD!$B$54:$F$58,3,0)," ")</f>
        <v>4599</v>
      </c>
      <c r="W31" s="194">
        <f>IFERROR(VLOOKUP(N31,TD!$B$54:$F$58,4,0)," ")</f>
        <v>20240207</v>
      </c>
      <c r="X31" s="198" t="s">
        <v>174</v>
      </c>
      <c r="Y31" s="194" t="str">
        <f>IFERROR(VLOOKUP(X31,TD!$J$55:$K$68,2,0)," ")</f>
        <v>Infraestructura física, mantenimiento y dotación (Sedes construidas, mantenidas reforzadas)</v>
      </c>
      <c r="Z31" s="171" t="str">
        <f>CONCATENATE(X31,"-",Y31)</f>
        <v>08-Infraestructura física, mantenimiento y dotación (Sedes construidas, mantenidas reforzadas)</v>
      </c>
      <c r="AA31" s="198" t="s">
        <v>227</v>
      </c>
      <c r="AB31" s="194" t="str">
        <f>IFERROR(VLOOKUP(AA31,TD!$N$55:$O$70,2,0)," ")</f>
        <v>Sedes mantenidas</v>
      </c>
      <c r="AC31" s="171" t="str">
        <f>CONCATENATE(AA31,"_",AB31)</f>
        <v>016_Sedes mantenidas</v>
      </c>
      <c r="AD31" s="171" t="str">
        <f>CONCATENATE(Z31," ",AC31)</f>
        <v>08-Infraestructura física, mantenimiento y dotación (Sedes construidas, mantenidas reforzadas) 016_Sedes mantenidas</v>
      </c>
      <c r="AE31" s="194" t="str">
        <f>CONCATENATE(U31,V31,W31,X31,AA31)</f>
        <v>O23011745992024020708016</v>
      </c>
      <c r="AF31" s="194" t="str">
        <f>IFERROR(VLOOKUP(AD31,TD!$J$70:$K$93,2,0)," ")</f>
        <v>PM/0131/0108/45990160207</v>
      </c>
      <c r="AG31" s="199" t="s">
        <v>385</v>
      </c>
      <c r="AH31" s="198" t="s">
        <v>194</v>
      </c>
      <c r="AI31" s="227" t="str">
        <f>CONCATENATE(PAA[[#This Row],[Id Interno]],"-",PAA[[#This Row],[tipo de Contrato (TH talento humano - B/S bienes y/o servicios)]],"-",S31,"-",T31,"-",PAA[[#This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32" spans="2:35" s="158" customFormat="1" ht="84" x14ac:dyDescent="0.35">
      <c r="B32" s="200">
        <v>20260873</v>
      </c>
      <c r="C32" s="197" t="s">
        <v>1158</v>
      </c>
      <c r="D32" s="200" t="s">
        <v>105</v>
      </c>
      <c r="E32" s="200" t="s">
        <v>363</v>
      </c>
      <c r="F32" s="200" t="s">
        <v>144</v>
      </c>
      <c r="G32" s="201" t="s">
        <v>382</v>
      </c>
      <c r="H32" s="202">
        <v>1</v>
      </c>
      <c r="I32" s="202">
        <v>22</v>
      </c>
      <c r="J32" s="203">
        <v>15600000</v>
      </c>
      <c r="K32" s="204" t="s">
        <v>398</v>
      </c>
      <c r="L32" s="205" t="s">
        <v>155</v>
      </c>
      <c r="M32" s="206" t="s">
        <v>422</v>
      </c>
      <c r="N32" s="200" t="s">
        <v>198</v>
      </c>
      <c r="O32" s="206" t="s">
        <v>887</v>
      </c>
      <c r="P32" s="206" t="s">
        <v>348</v>
      </c>
      <c r="Q32" s="207">
        <v>80111600</v>
      </c>
      <c r="R32" s="206" t="s">
        <v>217</v>
      </c>
      <c r="S32" s="166" t="str">
        <f>MID(PAA[[#This Row],[Meta Proyecto de Inversión]],1,4)</f>
        <v>8173</v>
      </c>
      <c r="T32" s="166" t="str">
        <f>MID(PAA[[#This Row],[Meta Proyecto de Inversión]],6,2)</f>
        <v>8-</v>
      </c>
      <c r="U32" s="208" t="str">
        <f>IFERROR(VLOOKUP(N32,TD!$B$54:$F$58,2,0)," ")</f>
        <v>O230117</v>
      </c>
      <c r="V32" s="208" t="str">
        <f>IFERROR(VLOOKUP(N32,TD!$B$54:$F$58,3,0)," ")</f>
        <v>4503</v>
      </c>
      <c r="W32" s="208">
        <f>IFERROR(VLOOKUP(N32,TD!$B$54:$F$58,4,0)," ")</f>
        <v>20240255</v>
      </c>
      <c r="X32" s="198">
        <v>14</v>
      </c>
      <c r="Y32" s="194" t="str">
        <f>IFERROR(VLOOKUP(X32,TD!$J$55:$K$68,2,0)," ")</f>
        <v xml:space="preserve">Infraestructura física misional construida mantenida y dotada </v>
      </c>
      <c r="Z32" s="168" t="str">
        <f>CONCATENATE(X32,"-",Y32)</f>
        <v xml:space="preserve">14-Infraestructura física misional construida mantenida y dotada </v>
      </c>
      <c r="AA32" s="198" t="s">
        <v>226</v>
      </c>
      <c r="AB32" s="194" t="str">
        <f>IFERROR(VLOOKUP(AA32,TD!$N$55:$O$70,2,0)," ")</f>
        <v>Estaciones de bomberos construidas</v>
      </c>
      <c r="AC32" s="168" t="str">
        <f>CONCATENATE(AA32,"_",AB32)</f>
        <v>015_Estaciones de bomberos construidas</v>
      </c>
      <c r="AD32" s="168" t="str">
        <f>CONCATENATE(Z32," ",AC32)</f>
        <v>14-Infraestructura física misional construida mantenida y dotada  015_Estaciones de bomberos construidas</v>
      </c>
      <c r="AE32" s="208" t="str">
        <f>CONCATENATE(U32,V32,W32,X32,AA32)</f>
        <v>O23011745032024025514015</v>
      </c>
      <c r="AF32" s="194" t="str">
        <f>IFERROR(VLOOKUP(AD32,TD!$J$70:$K$93,2,0)," ")</f>
        <v>PM/0131/0114/45030150255</v>
      </c>
      <c r="AG32" s="199" t="s">
        <v>385</v>
      </c>
      <c r="AH32" s="206" t="s">
        <v>193</v>
      </c>
      <c r="AI32" s="227" t="str">
        <f>CONCATENATE(PAA[[#This Row],[Id Interno]],"-",PAA[[#This Row],[tipo de Contrato (TH talento humano - B/S bienes y/o servicios)]],"-",S32,"-",T32,"-",PAA[[#This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33" spans="2:35" s="158" customFormat="1" ht="84" x14ac:dyDescent="0.35">
      <c r="B33" s="197">
        <v>20260958</v>
      </c>
      <c r="C33" s="197" t="s">
        <v>1353</v>
      </c>
      <c r="D33" s="197" t="s">
        <v>105</v>
      </c>
      <c r="E33" s="197" t="s">
        <v>363</v>
      </c>
      <c r="F33" s="197" t="s">
        <v>144</v>
      </c>
      <c r="G33" s="201" t="s">
        <v>383</v>
      </c>
      <c r="H33" s="218">
        <v>3</v>
      </c>
      <c r="I33" s="218">
        <v>0</v>
      </c>
      <c r="J33" s="199">
        <v>16500000</v>
      </c>
      <c r="K33" s="214" t="s">
        <v>398</v>
      </c>
      <c r="L33" s="209" t="s">
        <v>157</v>
      </c>
      <c r="M33" s="198" t="s">
        <v>483</v>
      </c>
      <c r="N33" s="197" t="s">
        <v>198</v>
      </c>
      <c r="O33" s="198" t="s">
        <v>887</v>
      </c>
      <c r="P33" s="198" t="s">
        <v>348</v>
      </c>
      <c r="Q33" s="215">
        <v>80111600</v>
      </c>
      <c r="R33" s="198" t="s">
        <v>213</v>
      </c>
      <c r="S33" s="166" t="str">
        <f>MID(PAA[[#This Row],[Meta Proyecto de Inversión]],1,4)</f>
        <v>8173</v>
      </c>
      <c r="T33" s="166" t="str">
        <f>MID(PAA[[#This Row],[Meta Proyecto de Inversión]],6,2)</f>
        <v>4-</v>
      </c>
      <c r="U33" s="194" t="str">
        <f>IFERROR(VLOOKUP(N33,TD!$B$54:$F$58,2,0)," ")</f>
        <v>O230117</v>
      </c>
      <c r="V33" s="194" t="str">
        <f>IFERROR(VLOOKUP(N33,TD!$B$54:$F$58,3,0)," ")</f>
        <v>4503</v>
      </c>
      <c r="W33" s="194">
        <f>IFERROR(VLOOKUP(N33,TD!$B$54:$F$58,4,0)," ")</f>
        <v>20240255</v>
      </c>
      <c r="X33" s="198" t="s">
        <v>180</v>
      </c>
      <c r="Y33" s="194" t="str">
        <f>IFERROR(VLOOKUP(X33,TD!$J$55:$K$68,2,0)," ")</f>
        <v>Servicio de apoyo   logístico  en eventos operativos y/o emergencias.</v>
      </c>
      <c r="Z33" s="168" t="str">
        <f>CONCATENATE(X33,"-",Y33)</f>
        <v>12-Servicio de apoyo   logístico  en eventos operativos y/o emergencias.</v>
      </c>
      <c r="AA33" s="198" t="s">
        <v>221</v>
      </c>
      <c r="AB33" s="194" t="str">
        <f>IFERROR(VLOOKUP(AA33,TD!$N$55:$O$70,2,0)," ")</f>
        <v>Servicio de atención a emergencias y desastres</v>
      </c>
      <c r="AC33" s="168" t="str">
        <f>CONCATENATE(AA33,"_",AB33)</f>
        <v>004_Servicio de atención a emergencias y desastres</v>
      </c>
      <c r="AD33" s="168" t="str">
        <f>CONCATENATE(Z33," ",AC33)</f>
        <v>12-Servicio de apoyo   logístico  en eventos operativos y/o emergencias. 004_Servicio de atención a emergencias y desastres</v>
      </c>
      <c r="AE33" s="194" t="str">
        <f>CONCATENATE(U33,V33,W33,X33,AA33)</f>
        <v>O23011745032024025512004</v>
      </c>
      <c r="AF33" s="194" t="str">
        <f>IFERROR(VLOOKUP(AD33,TD!$J$70:$K$93,2,0)," ")</f>
        <v>PM/0131/0112/45030040255</v>
      </c>
      <c r="AG33" s="199" t="s">
        <v>385</v>
      </c>
      <c r="AH33" s="198" t="s">
        <v>193</v>
      </c>
      <c r="AI33" s="227" t="str">
        <f>CONCATENATE(PAA[[#This Row],[Id Interno]],"-",PAA[[#This Row],[tipo de Contrato (TH talento humano - B/S bienes y/o servicios)]],"-",S33,"-",T33,"-",PAA[[#This Row],[Objeto de la contratación]])</f>
        <v>20260958-TH-8173-4--Adición y Prorroga  del Contrato 102 de 2026,  cuyo objeto es "Prestar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34" spans="2:35" s="158" customFormat="1" ht="70" x14ac:dyDescent="0.35">
      <c r="B34" s="197">
        <v>20260960</v>
      </c>
      <c r="C34" s="197" t="s">
        <v>1351</v>
      </c>
      <c r="D34" s="197" t="s">
        <v>105</v>
      </c>
      <c r="E34" s="197" t="s">
        <v>363</v>
      </c>
      <c r="F34" s="197" t="s">
        <v>144</v>
      </c>
      <c r="G34" s="201" t="s">
        <v>383</v>
      </c>
      <c r="H34" s="218">
        <v>3</v>
      </c>
      <c r="I34" s="218">
        <v>15</v>
      </c>
      <c r="J34" s="199">
        <v>24000000</v>
      </c>
      <c r="K34" s="214" t="s">
        <v>398</v>
      </c>
      <c r="L34" s="209" t="s">
        <v>157</v>
      </c>
      <c r="M34" s="198" t="s">
        <v>483</v>
      </c>
      <c r="N34" s="197" t="s">
        <v>198</v>
      </c>
      <c r="O34" s="198" t="s">
        <v>887</v>
      </c>
      <c r="P34" s="198" t="s">
        <v>348</v>
      </c>
      <c r="Q34" s="215">
        <v>80111600</v>
      </c>
      <c r="R34" s="198" t="s">
        <v>213</v>
      </c>
      <c r="S34" s="166" t="str">
        <f>MID(PAA[[#This Row],[Meta Proyecto de Inversión]],1,4)</f>
        <v>8173</v>
      </c>
      <c r="T34" s="166" t="str">
        <f>MID(PAA[[#This Row],[Meta Proyecto de Inversión]],6,2)</f>
        <v>4-</v>
      </c>
      <c r="U34" s="194" t="str">
        <f>IFERROR(VLOOKUP(N34,TD!$B$54:$F$58,2,0)," ")</f>
        <v>O230117</v>
      </c>
      <c r="V34" s="194" t="str">
        <f>IFERROR(VLOOKUP(N34,TD!$B$54:$F$58,3,0)," ")</f>
        <v>4503</v>
      </c>
      <c r="W34" s="194">
        <f>IFERROR(VLOOKUP(N34,TD!$B$54:$F$58,4,0)," ")</f>
        <v>20240255</v>
      </c>
      <c r="X34" s="198" t="s">
        <v>180</v>
      </c>
      <c r="Y34" s="194" t="str">
        <f>IFERROR(VLOOKUP(X34,TD!$J$55:$K$68,2,0)," ")</f>
        <v>Servicio de apoyo   logístico  en eventos operativos y/o emergencias.</v>
      </c>
      <c r="Z34" s="168" t="str">
        <f>CONCATENATE(X34,"-",Y34)</f>
        <v>12-Servicio de apoyo   logístico  en eventos operativos y/o emergencias.</v>
      </c>
      <c r="AA34" s="198" t="s">
        <v>221</v>
      </c>
      <c r="AB34" s="194" t="str">
        <f>IFERROR(VLOOKUP(AA34,TD!$N$55:$O$70,2,0)," ")</f>
        <v>Servicio de atención a emergencias y desastres</v>
      </c>
      <c r="AC34" s="168" t="str">
        <f>CONCATENATE(AA34,"_",AB34)</f>
        <v>004_Servicio de atención a emergencias y desastres</v>
      </c>
      <c r="AD34" s="168" t="str">
        <f>CONCATENATE(Z34," ",AC34)</f>
        <v>12-Servicio de apoyo   logístico  en eventos operativos y/o emergencias. 004_Servicio de atención a emergencias y desastres</v>
      </c>
      <c r="AE34" s="194" t="str">
        <f>CONCATENATE(U34,V34,W34,X34,AA34)</f>
        <v>O23011745032024025512004</v>
      </c>
      <c r="AF34" s="194" t="str">
        <f>IFERROR(VLOOKUP(AD34,TD!$J$70:$K$93,2,0)," ")</f>
        <v>PM/0131/0112/45030040255</v>
      </c>
      <c r="AG34" s="199" t="s">
        <v>385</v>
      </c>
      <c r="AH34" s="198" t="s">
        <v>193</v>
      </c>
      <c r="AI34" s="227" t="str">
        <f>CONCATENATE(PAA[[#This Row],[Id Interno]],"-",PAA[[#This Row],[tipo de Contrato (TH talento humano - B/S bienes y/o servicios)]],"-",S34,"-",T34,"-",PAA[[#This Row],[Objeto de la contratación]])</f>
        <v>20260960-TH-8173-4--Adición y Prorroga del Contrato 014 de 2026, cuyo objeto es "Prestación de servicios profesionales, para apoyar la estructuración y elaboración de los asuntos contractuales en sus diferentes etapas en la adquisicion de bienes y servicios para el desarrollo de las estrategías de la Subdirección Logística.- SBLG"</v>
      </c>
    </row>
    <row r="35" spans="2:35" s="158" customFormat="1" ht="84" x14ac:dyDescent="0.35">
      <c r="B35" s="197">
        <v>20260961</v>
      </c>
      <c r="C35" s="197" t="s">
        <v>1352</v>
      </c>
      <c r="D35" s="197" t="s">
        <v>105</v>
      </c>
      <c r="E35" s="197" t="s">
        <v>363</v>
      </c>
      <c r="F35" s="197" t="s">
        <v>144</v>
      </c>
      <c r="G35" s="201" t="s">
        <v>383</v>
      </c>
      <c r="H35" s="218">
        <v>3</v>
      </c>
      <c r="I35" s="218">
        <v>0</v>
      </c>
      <c r="J35" s="199">
        <v>27000000</v>
      </c>
      <c r="K35" s="214" t="s">
        <v>398</v>
      </c>
      <c r="L35" s="209" t="s">
        <v>157</v>
      </c>
      <c r="M35" s="198" t="s">
        <v>483</v>
      </c>
      <c r="N35" s="197" t="s">
        <v>198</v>
      </c>
      <c r="O35" s="198" t="s">
        <v>887</v>
      </c>
      <c r="P35" s="198" t="s">
        <v>348</v>
      </c>
      <c r="Q35" s="215">
        <v>80111600</v>
      </c>
      <c r="R35" s="198" t="s">
        <v>213</v>
      </c>
      <c r="S35" s="166" t="str">
        <f>MID(PAA[[#This Row],[Meta Proyecto de Inversión]],1,4)</f>
        <v>8173</v>
      </c>
      <c r="T35" s="166" t="str">
        <f>MID(PAA[[#This Row],[Meta Proyecto de Inversión]],6,2)</f>
        <v>4-</v>
      </c>
      <c r="U35" s="194" t="str">
        <f>IFERROR(VLOOKUP(N35,TD!$B$54:$F$58,2,0)," ")</f>
        <v>O230117</v>
      </c>
      <c r="V35" s="194" t="str">
        <f>IFERROR(VLOOKUP(N35,TD!$B$54:$F$58,3,0)," ")</f>
        <v>4503</v>
      </c>
      <c r="W35" s="194">
        <f>IFERROR(VLOOKUP(N35,TD!$B$54:$F$58,4,0)," ")</f>
        <v>20240255</v>
      </c>
      <c r="X35" s="198" t="s">
        <v>180</v>
      </c>
      <c r="Y35" s="194" t="str">
        <f>IFERROR(VLOOKUP(X35,TD!$J$55:$K$68,2,0)," ")</f>
        <v>Servicio de apoyo   logístico  en eventos operativos y/o emergencias.</v>
      </c>
      <c r="Z35" s="168" t="str">
        <f>CONCATENATE(X35,"-",Y35)</f>
        <v>12-Servicio de apoyo   logístico  en eventos operativos y/o emergencias.</v>
      </c>
      <c r="AA35" s="198" t="s">
        <v>221</v>
      </c>
      <c r="AB35" s="194" t="str">
        <f>IFERROR(VLOOKUP(AA35,TD!$N$55:$O$70,2,0)," ")</f>
        <v>Servicio de atención a emergencias y desastres</v>
      </c>
      <c r="AC35" s="168" t="str">
        <f>CONCATENATE(AA35,"_",AB35)</f>
        <v>004_Servicio de atención a emergencias y desastres</v>
      </c>
      <c r="AD35" s="168" t="str">
        <f>CONCATENATE(Z35," ",AC35)</f>
        <v>12-Servicio de apoyo   logístico  en eventos operativos y/o emergencias. 004_Servicio de atención a emergencias y desastres</v>
      </c>
      <c r="AE35" s="194" t="str">
        <f>CONCATENATE(U35,V35,W35,X35,AA35)</f>
        <v>O23011745032024025512004</v>
      </c>
      <c r="AF35" s="194" t="str">
        <f>IFERROR(VLOOKUP(AD35,TD!$J$70:$K$93,2,0)," ")</f>
        <v>PM/0131/0112/45030040255</v>
      </c>
      <c r="AG35" s="199" t="s">
        <v>385</v>
      </c>
      <c r="AH35" s="198" t="s">
        <v>193</v>
      </c>
      <c r="AI35" s="227" t="str">
        <f>CONCATENATE(PAA[[#This Row],[Id Interno]],"-",PAA[[#This Row],[tipo de Contrato (TH talento humano - B/S bienes y/o servicios)]],"-",S35,"-",T35,"-",PAA[[#This Row],[Objeto de la contratación]])</f>
        <v>20260961-TH-8173-4--Adición y Prorroga del Contrato 055 de 2026, cuyo objeto es "Prestar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36" spans="2:35" s="159" customFormat="1" ht="56" x14ac:dyDescent="0.35">
      <c r="B36" s="200">
        <v>20260987</v>
      </c>
      <c r="C36" s="197" t="s">
        <v>1229</v>
      </c>
      <c r="D36" s="200" t="s">
        <v>119</v>
      </c>
      <c r="E36" s="200" t="s">
        <v>363</v>
      </c>
      <c r="F36" s="200" t="s">
        <v>128</v>
      </c>
      <c r="G36" s="201" t="s">
        <v>380</v>
      </c>
      <c r="H36" s="202">
        <v>0</v>
      </c>
      <c r="I36" s="202">
        <v>10</v>
      </c>
      <c r="J36" s="223">
        <v>5914175</v>
      </c>
      <c r="K36" s="204" t="s">
        <v>398</v>
      </c>
      <c r="L36" s="205" t="s">
        <v>158</v>
      </c>
      <c r="M36" s="206" t="s">
        <v>421</v>
      </c>
      <c r="N36" s="200" t="s">
        <v>198</v>
      </c>
      <c r="O36" s="206" t="s">
        <v>887</v>
      </c>
      <c r="P36" s="206" t="s">
        <v>348</v>
      </c>
      <c r="Q36" s="207">
        <v>80111600</v>
      </c>
      <c r="R36" s="206" t="s">
        <v>210</v>
      </c>
      <c r="S36" s="166" t="str">
        <f>MID(PAA[[#This Row],[Meta Proyecto de Inversión]],1,4)</f>
        <v>8173</v>
      </c>
      <c r="T36" s="166" t="str">
        <f>MID(PAA[[#This Row],[Meta Proyecto de Inversión]],6,2)</f>
        <v>1-</v>
      </c>
      <c r="U36" s="208" t="str">
        <f>IFERROR(VLOOKUP(N36,TD!$B$54:$F$58,2,0)," ")</f>
        <v>O230117</v>
      </c>
      <c r="V36" s="208" t="str">
        <f>IFERROR(VLOOKUP(N36,TD!$B$54:$F$58,3,0)," ")</f>
        <v>4503</v>
      </c>
      <c r="W36" s="208">
        <f>IFERROR(VLOOKUP(N36,TD!$B$54:$F$58,4,0)," ")</f>
        <v>20240255</v>
      </c>
      <c r="X36" s="206" t="s">
        <v>164</v>
      </c>
      <c r="Y36" s="194" t="str">
        <f>IFERROR(VLOOKUP(X36,TD!$J$55:$K$68,2,0)," ")</f>
        <v>Servicio de atención a incidentes y emergencias.</v>
      </c>
      <c r="Z36" s="168" t="str">
        <f>CONCATENATE(X36,"-",Y36)</f>
        <v>04-Servicio de atención a incidentes y emergencias.</v>
      </c>
      <c r="AA36" s="206" t="s">
        <v>221</v>
      </c>
      <c r="AB36" s="194" t="str">
        <f>IFERROR(VLOOKUP(AA36,TD!$N$55:$O$70,2,0)," ")</f>
        <v>Servicio de atención a emergencias y desastres</v>
      </c>
      <c r="AC36" s="168" t="str">
        <f>CONCATENATE(AA36,"_",AB36)</f>
        <v>004_Servicio de atención a emergencias y desastres</v>
      </c>
      <c r="AD36" s="168" t="str">
        <f>CONCATENATE(Z36," ",AC36)</f>
        <v>04-Servicio de atención a incidentes y emergencias. 004_Servicio de atención a emergencias y desastres</v>
      </c>
      <c r="AE36" s="208" t="str">
        <f>CONCATENATE(U36,V36,W36,X36,AA36)</f>
        <v>O23011745032024025504004</v>
      </c>
      <c r="AF36" s="194" t="str">
        <f>IFERROR(VLOOKUP(AD36,TD!$J$70:$K$93,2,0)," ")</f>
        <v>PM/0131/0104/45030040255</v>
      </c>
      <c r="AG36" s="199" t="s">
        <v>1230</v>
      </c>
      <c r="AH36" s="206" t="s">
        <v>193</v>
      </c>
      <c r="AI36" s="227" t="str">
        <f>CONCATENATE(PAA[[#This Row],[Id Interno]],"-",PAA[[#This Row],[tipo de Contrato (TH talento humano - B/S bienes y/o servicios)]],"-",S36,"-",T36,"-",PAA[[#This Row],[Objeto de la contratación]])</f>
        <v>20260987-TH-8173-1--Reconocimientos de gastos de alimentación y hospedaje por desplazamientos de contratistas</v>
      </c>
    </row>
    <row r="37" spans="2:35" s="158" customFormat="1" ht="70" x14ac:dyDescent="0.35">
      <c r="B37" s="200">
        <v>20261037</v>
      </c>
      <c r="C37" s="197" t="s">
        <v>1341</v>
      </c>
      <c r="D37" s="200" t="s">
        <v>105</v>
      </c>
      <c r="E37" s="200" t="s">
        <v>363</v>
      </c>
      <c r="F37" s="200" t="s">
        <v>144</v>
      </c>
      <c r="G37" s="201" t="s">
        <v>383</v>
      </c>
      <c r="H37" s="202">
        <v>2</v>
      </c>
      <c r="I37" s="202">
        <v>0</v>
      </c>
      <c r="J37" s="223">
        <v>8580000</v>
      </c>
      <c r="K37" s="204" t="s">
        <v>398</v>
      </c>
      <c r="L37" s="205" t="s">
        <v>46</v>
      </c>
      <c r="M37" s="206" t="s">
        <v>1228</v>
      </c>
      <c r="N37" s="200" t="s">
        <v>197</v>
      </c>
      <c r="O37" s="206" t="s">
        <v>886</v>
      </c>
      <c r="P37" s="206" t="s">
        <v>348</v>
      </c>
      <c r="Q37" s="207">
        <v>80111600</v>
      </c>
      <c r="R37" s="206" t="s">
        <v>208</v>
      </c>
      <c r="S37" s="206" t="str">
        <f>MID(PAA[[#This Row],[Meta Proyecto de Inversión]],1,4)</f>
        <v>8126</v>
      </c>
      <c r="T37" s="206" t="str">
        <f>MID(PAA[[#This Row],[Meta Proyecto de Inversión]],6,2)</f>
        <v>9-</v>
      </c>
      <c r="U37" s="208" t="str">
        <f>IFERROR(VLOOKUP(N37,TD!$B$54:$F$58,2,0)," ")</f>
        <v>O230117</v>
      </c>
      <c r="V37" s="208" t="str">
        <f>IFERROR(VLOOKUP(N37,TD!$B$54:$F$58,3,0)," ")</f>
        <v>4599</v>
      </c>
      <c r="W37" s="208">
        <f>IFERROR(VLOOKUP(N37,TD!$B$54:$F$58,4,0)," ")</f>
        <v>20240207</v>
      </c>
      <c r="X37" s="206" t="s">
        <v>174</v>
      </c>
      <c r="Y37" s="194" t="str">
        <f>IFERROR(VLOOKUP(X37,TD!$J$55:$K$68,2,0)," ")</f>
        <v>Infraestructura física, mantenimiento y dotación (Sedes construidas, mantenidas reforzadas)</v>
      </c>
      <c r="Z37" s="226" t="str">
        <f>CONCATENATE(X37,"-",Y37)</f>
        <v>08-Infraestructura física, mantenimiento y dotación (Sedes construidas, mantenidas reforzadas)</v>
      </c>
      <c r="AA37" s="206" t="s">
        <v>227</v>
      </c>
      <c r="AB37" s="194" t="str">
        <f>IFERROR(VLOOKUP(AA37,TD!$N$55:$O$70,2,0)," ")</f>
        <v>Sedes mantenidas</v>
      </c>
      <c r="AC37" s="226" t="str">
        <f>CONCATENATE(AA37,"_",AB37)</f>
        <v>016_Sedes mantenidas</v>
      </c>
      <c r="AD37" s="226" t="str">
        <f>CONCATENATE(Z37," ",AC37)</f>
        <v>08-Infraestructura física, mantenimiento y dotación (Sedes construidas, mantenidas reforzadas) 016_Sedes mantenidas</v>
      </c>
      <c r="AE37" s="208" t="str">
        <f>CONCATENATE(U37,V37,W37,X37,AA37)</f>
        <v>O23011745992024020708016</v>
      </c>
      <c r="AF37" s="194" t="str">
        <f>IFERROR(VLOOKUP(AD37,TD!$J$70:$K$93,2,0)," ")</f>
        <v>PM/0131/0108/45990160207</v>
      </c>
      <c r="AG37" s="199" t="s">
        <v>385</v>
      </c>
      <c r="AH37" s="206" t="s">
        <v>193</v>
      </c>
      <c r="AI37" s="227" t="str">
        <f>CONCATENATE(PAA[[#This Row],[Id Interno]],"-",PAA[[#This Row],[tipo de Contrato (TH talento humano - B/S bienes y/o servicios)]],"-",S37,"-",T37,"-",PAA[[#This Row],[Objeto de la contratación]])</f>
        <v>20261037-TH-8126-9--Prestar servicios profesionales para apoyar las labores de Secretaría Común y las actividades administrativas, documentales y de seguimiento relacionadas con las actuaciones disciplinarias adelantadas por la Oficina de Control Disciplinario Interno.</v>
      </c>
    </row>
    <row r="38" spans="2:35" ht="84" x14ac:dyDescent="0.35">
      <c r="B38" s="200">
        <v>20261057</v>
      </c>
      <c r="C38" s="197" t="s">
        <v>1287</v>
      </c>
      <c r="D38" s="200" t="s">
        <v>105</v>
      </c>
      <c r="E38" s="200" t="s">
        <v>363</v>
      </c>
      <c r="F38" s="200" t="s">
        <v>145</v>
      </c>
      <c r="G38" s="201" t="s">
        <v>381</v>
      </c>
      <c r="H38" s="202">
        <v>3</v>
      </c>
      <c r="I38" s="202">
        <v>0</v>
      </c>
      <c r="J38" s="223">
        <v>135825</v>
      </c>
      <c r="K38" s="204" t="s">
        <v>398</v>
      </c>
      <c r="L38" s="205" t="s">
        <v>158</v>
      </c>
      <c r="M38" s="206" t="s">
        <v>421</v>
      </c>
      <c r="N38" s="200" t="s">
        <v>198</v>
      </c>
      <c r="O38" s="206" t="s">
        <v>887</v>
      </c>
      <c r="P38" s="206" t="s">
        <v>348</v>
      </c>
      <c r="Q38" s="207">
        <v>80111600</v>
      </c>
      <c r="R38" s="206" t="s">
        <v>210</v>
      </c>
      <c r="S38" s="166" t="str">
        <f>MID(PAA[[#This Row],[Meta Proyecto de Inversión]],1,4)</f>
        <v>8173</v>
      </c>
      <c r="T38" s="166" t="str">
        <f>MID(PAA[[#This Row],[Meta Proyecto de Inversión]],6,2)</f>
        <v>1-</v>
      </c>
      <c r="U38" s="208" t="str">
        <f>IFERROR(VLOOKUP(N38,TD!$B$54:$F$58,2,0)," ")</f>
        <v>O230117</v>
      </c>
      <c r="V38" s="208" t="str">
        <f>IFERROR(VLOOKUP(N38,TD!$B$54:$F$58,3,0)," ")</f>
        <v>4503</v>
      </c>
      <c r="W38" s="208">
        <f>IFERROR(VLOOKUP(N38,TD!$B$54:$F$58,4,0)," ")</f>
        <v>20240255</v>
      </c>
      <c r="X38" s="206" t="s">
        <v>164</v>
      </c>
      <c r="Y38" s="194" t="str">
        <f>IFERROR(VLOOKUP(X38,TD!$J$55:$K$68,2,0)," ")</f>
        <v>Servicio de atención a incidentes y emergencias.</v>
      </c>
      <c r="Z38" s="168" t="str">
        <f>CONCATENATE(X38,"-",Y38)</f>
        <v>04-Servicio de atención a incidentes y emergencias.</v>
      </c>
      <c r="AA38" s="206" t="s">
        <v>221</v>
      </c>
      <c r="AB38" s="194" t="str">
        <f>IFERROR(VLOOKUP(AA38,TD!$N$55:$O$70,2,0)," ")</f>
        <v>Servicio de atención a emergencias y desastres</v>
      </c>
      <c r="AC38" s="168" t="str">
        <f>CONCATENATE(AA38,"_",AB38)</f>
        <v>004_Servicio de atención a emergencias y desastres</v>
      </c>
      <c r="AD38" s="168" t="str">
        <f>CONCATENATE(Z38," ",AC38)</f>
        <v>04-Servicio de atención a incidentes y emergencias. 004_Servicio de atención a emergencias y desastres</v>
      </c>
      <c r="AE38" s="208" t="str">
        <f>CONCATENATE(U38,V38,W38,X38,AA38)</f>
        <v>O23011745032024025504004</v>
      </c>
      <c r="AF38" s="194" t="str">
        <f>IFERROR(VLOOKUP(AD38,TD!$J$70:$K$93,2,0)," ")</f>
        <v>PM/0131/0104/45030040255</v>
      </c>
      <c r="AG38" s="199" t="s">
        <v>385</v>
      </c>
      <c r="AH38" s="206" t="s">
        <v>193</v>
      </c>
      <c r="AI38" s="227" t="str">
        <f>CONCATENATE(PAA[[#This Row],[Id Interno]],"-",PAA[[#This Row],[tipo de Contrato (TH talento humano - B/S bienes y/o servicios)]],"-",S38,"-",T38,"-",PAA[[#This Row],[Objeto de la contratación]])</f>
        <v>20261057-TH-8173-1--Prestar servicios de apoyo a la gestión y documentación funcional y la realización de pruebas para las herramientas tecnológicas entregadas a la dependencia, así como la elaboración de reportes y  gestión en las actividades de información y productos para los programas y metas a cargo de la Subdirección  Operativa-S.O.</v>
      </c>
    </row>
    <row r="39" spans="2:35" s="56" customFormat="1" ht="98" x14ac:dyDescent="0.35">
      <c r="B39" s="200">
        <v>20261063</v>
      </c>
      <c r="C39" s="197" t="s">
        <v>1296</v>
      </c>
      <c r="D39" s="200" t="s">
        <v>105</v>
      </c>
      <c r="E39" s="200" t="s">
        <v>363</v>
      </c>
      <c r="F39" s="200" t="s">
        <v>144</v>
      </c>
      <c r="G39" s="201" t="s">
        <v>382</v>
      </c>
      <c r="H39" s="202">
        <v>4</v>
      </c>
      <c r="I39" s="202">
        <v>0</v>
      </c>
      <c r="J39" s="223">
        <v>15483261</v>
      </c>
      <c r="K39" s="204" t="s">
        <v>398</v>
      </c>
      <c r="L39" s="205" t="s">
        <v>155</v>
      </c>
      <c r="M39" s="206" t="s">
        <v>422</v>
      </c>
      <c r="N39" s="200" t="s">
        <v>198</v>
      </c>
      <c r="O39" s="206" t="s">
        <v>887</v>
      </c>
      <c r="P39" s="206" t="s">
        <v>348</v>
      </c>
      <c r="Q39" s="207" t="s">
        <v>725</v>
      </c>
      <c r="R39" s="206" t="s">
        <v>216</v>
      </c>
      <c r="S39" s="166" t="s">
        <v>1297</v>
      </c>
      <c r="T39" s="166" t="s">
        <v>1298</v>
      </c>
      <c r="U39" s="208" t="s">
        <v>187</v>
      </c>
      <c r="V39" s="208" t="s">
        <v>188</v>
      </c>
      <c r="W39" s="208">
        <v>20240255</v>
      </c>
      <c r="X39" s="206">
        <v>14</v>
      </c>
      <c r="Y39" s="208" t="str">
        <f>IFERROR(VLOOKUP(X39,TD!$J$55:$K$68,2,0)," ")</f>
        <v xml:space="preserve">Infraestructura física misional construida mantenida y dotada </v>
      </c>
      <c r="Z39" s="168" t="s">
        <v>1299</v>
      </c>
      <c r="AA39" s="206" t="s">
        <v>225</v>
      </c>
      <c r="AB39" s="208" t="str">
        <f>IFERROR(VLOOKUP(AA39,TD!$N$55:$O$70,2,0)," ")</f>
        <v>Estaciones de bomberos adecuadas</v>
      </c>
      <c r="AC39" s="168" t="s">
        <v>1300</v>
      </c>
      <c r="AD39" s="168" t="s">
        <v>391</v>
      </c>
      <c r="AE39" s="208" t="str">
        <f>CONCATENATE(U39,V39,W39,X39,AA39)</f>
        <v>O23011745032024025514014</v>
      </c>
      <c r="AF39" s="208" t="str">
        <f>IFERROR(VLOOKUP(AD39,TD!$J$70:$K$93,2,0)," ")</f>
        <v>PM/0131/0114/45030140255</v>
      </c>
      <c r="AG39" s="199" t="s">
        <v>385</v>
      </c>
      <c r="AH39" s="206" t="s">
        <v>193</v>
      </c>
      <c r="AI39" s="227" t="str">
        <f>CONCATENATE(PAA[[#This Row],[Id Interno]],"-",PAA[[#This Row],[tipo de Contrato (TH talento humano - B/S bienes y/o servicios)]],"-",S39,"-",T39,"-",PAA[[#This Row],[Objeto de la contratación]])</f>
        <v>20261063-TH-8173-7--Prestar servicios profesionales para apoyar el seguimiento, gestión, revisión, trámite y cierre de los procesos contractuales y administrativos a cargo de la dependencia, incluyendo la elaboración y revisión de liquidaciones y cierres contractuales, conforme a los procesos y procedimientos establecidos para la adecuada prestación del servicio de la Subdirección de Gestión CorporativA-SGC</v>
      </c>
    </row>
    <row r="40" spans="2:35" ht="56" x14ac:dyDescent="0.35">
      <c r="B40" s="200">
        <v>20261073</v>
      </c>
      <c r="C40" s="197" t="s">
        <v>1349</v>
      </c>
      <c r="D40" s="200" t="s">
        <v>92</v>
      </c>
      <c r="E40" s="200" t="s">
        <v>402</v>
      </c>
      <c r="F40" s="200" t="s">
        <v>101</v>
      </c>
      <c r="G40" s="201" t="s">
        <v>382</v>
      </c>
      <c r="H40" s="202">
        <v>5</v>
      </c>
      <c r="I40" s="202">
        <v>0</v>
      </c>
      <c r="J40" s="223">
        <v>46837000</v>
      </c>
      <c r="K40" s="204" t="s">
        <v>398</v>
      </c>
      <c r="L40" s="205" t="s">
        <v>158</v>
      </c>
      <c r="M40" s="206" t="s">
        <v>421</v>
      </c>
      <c r="N40" s="200" t="s">
        <v>198</v>
      </c>
      <c r="O40" s="206" t="s">
        <v>887</v>
      </c>
      <c r="P40" s="206" t="s">
        <v>348</v>
      </c>
      <c r="Q40" s="207">
        <v>80111600</v>
      </c>
      <c r="R40" s="206" t="s">
        <v>211</v>
      </c>
      <c r="S40" s="166" t="str">
        <f>MID(PAA[[#This Row],[Meta Proyecto de Inversión]],1,4)</f>
        <v>8173</v>
      </c>
      <c r="T40" s="166" t="str">
        <f>MID(PAA[[#This Row],[Meta Proyecto de Inversión]],6,2)</f>
        <v>2-</v>
      </c>
      <c r="U40" s="208" t="str">
        <f>IFERROR(VLOOKUP(N40,TD!$B$54:$F$58,2,0)," ")</f>
        <v>O230117</v>
      </c>
      <c r="V40" s="208" t="str">
        <f>IFERROR(VLOOKUP(N40,TD!$B$54:$F$58,3,0)," ")</f>
        <v>4503</v>
      </c>
      <c r="W40" s="208">
        <f>IFERROR(VLOOKUP(N40,TD!$B$54:$F$58,4,0)," ")</f>
        <v>20240255</v>
      </c>
      <c r="X40" s="206" t="s">
        <v>178</v>
      </c>
      <c r="Y40" s="208" t="str">
        <f>IFERROR(VLOOKUP(X40,TD!$J$55:$K$68,2,0)," ")</f>
        <v>Servicio de dotación y equipamento para el personal operativo</v>
      </c>
      <c r="Z40" s="168" t="str">
        <f>CONCATENATE(X40,"-",Y40)</f>
        <v>10-Servicio de dotación y equipamento para el personal operativo</v>
      </c>
      <c r="AA40" s="206" t="s">
        <v>221</v>
      </c>
      <c r="AB40" s="208" t="str">
        <f>IFERROR(VLOOKUP(AA40,TD!$N$55:$O$70,2,0)," ")</f>
        <v>Servicio de atención a emergencias y desastres</v>
      </c>
      <c r="AC40" s="168" t="str">
        <f>CONCATENATE(AA40,"_",AB40)</f>
        <v>004_Servicio de atención a emergencias y desastres</v>
      </c>
      <c r="AD40" s="168" t="str">
        <f>CONCATENATE(Z40," ",AC40)</f>
        <v>10-Servicio de dotación y equipamento para el personal operativo 004_Servicio de atención a emergencias y desastres</v>
      </c>
      <c r="AE40" s="208" t="str">
        <f>CONCATENATE(U40,V40,W40,X40,AA40)</f>
        <v>O23011745032024025510004</v>
      </c>
      <c r="AF40" s="194" t="str">
        <f>IFERROR(VLOOKUP(AD40,TD!$J$70:$K$93,2,0)," ")</f>
        <v>PM/0131/0110/45030040255</v>
      </c>
      <c r="AG40" s="199" t="s">
        <v>864</v>
      </c>
      <c r="AH40" s="206" t="s">
        <v>193</v>
      </c>
      <c r="AI40" s="227" t="str">
        <f>CONCATENATE(PAA[[#This Row],[Id Interno]],"-",PAA[[#This Row],[tipo de Contrato (TH talento humano - B/S bienes y/o servicios)]],"-",S40,"-",T40,"-",PAA[[#This Row],[Objeto de la contratación]])</f>
        <v>20261073-BS-8173-2--Aduqisición de botas para el uso diario para el personal uniformado de la UAE Cuerpo Oficial de Bomberos de Bogotá.</v>
      </c>
    </row>
    <row r="41" spans="2:35" ht="56" x14ac:dyDescent="0.35">
      <c r="B41" s="200">
        <v>20261083</v>
      </c>
      <c r="C41" s="197" t="s">
        <v>1326</v>
      </c>
      <c r="D41" s="200" t="s">
        <v>105</v>
      </c>
      <c r="E41" s="200" t="s">
        <v>363</v>
      </c>
      <c r="F41" s="200" t="s">
        <v>144</v>
      </c>
      <c r="G41" s="201" t="s">
        <v>383</v>
      </c>
      <c r="H41" s="202">
        <v>2</v>
      </c>
      <c r="I41" s="202">
        <v>0</v>
      </c>
      <c r="J41" s="223">
        <v>13118368</v>
      </c>
      <c r="K41" s="204" t="s">
        <v>398</v>
      </c>
      <c r="L41" s="205" t="s">
        <v>36</v>
      </c>
      <c r="M41" s="206" t="s">
        <v>468</v>
      </c>
      <c r="N41" s="200" t="s">
        <v>197</v>
      </c>
      <c r="O41" s="206" t="s">
        <v>886</v>
      </c>
      <c r="P41" s="206" t="s">
        <v>348</v>
      </c>
      <c r="Q41" s="207">
        <v>80111600</v>
      </c>
      <c r="R41" s="206" t="s">
        <v>200</v>
      </c>
      <c r="S41" s="166" t="str">
        <f>MID(PAA[[#This Row],[Meta Proyecto de Inversión]],1,4)</f>
        <v>8126</v>
      </c>
      <c r="T41" s="166" t="str">
        <f>MID(PAA[[#This Row],[Meta Proyecto de Inversión]],6,2)</f>
        <v>1-</v>
      </c>
      <c r="U41" s="208" t="str">
        <f>IFERROR(VLOOKUP(N41,TD!$B$54:$F$58,2,0)," ")</f>
        <v>O230117</v>
      </c>
      <c r="V41" s="208" t="str">
        <f>IFERROR(VLOOKUP(N41,TD!$B$54:$F$58,3,0)," ")</f>
        <v>4599</v>
      </c>
      <c r="W41" s="208">
        <f>IFERROR(VLOOKUP(N41,TD!$B$54:$F$58,4,0)," ")</f>
        <v>20240207</v>
      </c>
      <c r="X41" s="206" t="s">
        <v>182</v>
      </c>
      <c r="Y41" s="208" t="str">
        <f>IFERROR(VLOOKUP(X41,TD!$J$55:$K$68,2,0)," ")</f>
        <v>Servicios para la planeación y sistemas de gestión y comunicación estratégica</v>
      </c>
      <c r="Z41" s="168" t="str">
        <f>CONCATENATE(X41,"-",Y41)</f>
        <v>13-Servicios para la planeación y sistemas de gestión y comunicación estratégica</v>
      </c>
      <c r="AA41" s="206" t="s">
        <v>229</v>
      </c>
      <c r="AB41" s="208" t="str">
        <f>IFERROR(VLOOKUP(AA41,TD!$N$55:$O$70,2,0)," ")</f>
        <v>Servicio de asistencia técnica</v>
      </c>
      <c r="AC41" s="168" t="str">
        <f>CONCATENATE(AA41,"_",AB41)</f>
        <v>031_Servicio de asistencia técnica</v>
      </c>
      <c r="AD41" s="168" t="str">
        <f>CONCATENATE(Z41," ",AC41)</f>
        <v>13-Servicios para la planeación y sistemas de gestión y comunicación estratégica 031_Servicio de asistencia técnica</v>
      </c>
      <c r="AE41" s="208" t="str">
        <f>CONCATENATE(U41,V41,W41,X41,AA41)</f>
        <v>O23011745992024020713031</v>
      </c>
      <c r="AF41" s="194" t="str">
        <f>IFERROR(VLOOKUP(AD41,TD!$J$70:$K$93,2,0)," ")</f>
        <v>PM/0131/0113/45990310207</v>
      </c>
      <c r="AG41" s="199" t="s">
        <v>385</v>
      </c>
      <c r="AH41" s="206" t="s">
        <v>193</v>
      </c>
      <c r="AI41" s="227" t="str">
        <f>CONCATENATE(PAA[[#This Row],[Id Interno]],"-",PAA[[#This Row],[tipo de Contrato (TH talento humano - B/S bienes y/o servicios)]],"-",S41,"-",T41,"-",PAA[[#This Row],[Objeto de la contratación]])</f>
        <v>20261083-TH-8126-1--Prestar servicios profesionales para apoyar la ejecución de actividades orientadas a la implementación de las políticas establecidas en el marco del Modelo Integrado de Planeación y Gestión - MIPG, liderado por la Oficina Asesora de Planeación.</v>
      </c>
    </row>
    <row r="42" spans="2:35" s="56" customFormat="1" ht="56" x14ac:dyDescent="0.35">
      <c r="B42" s="200">
        <v>20261084</v>
      </c>
      <c r="C42" s="197" t="s">
        <v>1327</v>
      </c>
      <c r="D42" s="200" t="s">
        <v>105</v>
      </c>
      <c r="E42" s="200" t="s">
        <v>363</v>
      </c>
      <c r="F42" s="200" t="s">
        <v>144</v>
      </c>
      <c r="G42" s="201" t="s">
        <v>383</v>
      </c>
      <c r="H42" s="202">
        <v>2</v>
      </c>
      <c r="I42" s="202">
        <v>0</v>
      </c>
      <c r="J42" s="223">
        <v>13118368</v>
      </c>
      <c r="K42" s="204" t="s">
        <v>398</v>
      </c>
      <c r="L42" s="205" t="s">
        <v>36</v>
      </c>
      <c r="M42" s="206" t="s">
        <v>468</v>
      </c>
      <c r="N42" s="200" t="s">
        <v>197</v>
      </c>
      <c r="O42" s="206" t="s">
        <v>886</v>
      </c>
      <c r="P42" s="206" t="s">
        <v>348</v>
      </c>
      <c r="Q42" s="207">
        <v>80111600</v>
      </c>
      <c r="R42" s="206" t="s">
        <v>200</v>
      </c>
      <c r="S42" s="166" t="str">
        <f>MID(PAA[[#This Row],[Meta Proyecto de Inversión]],1,4)</f>
        <v>8126</v>
      </c>
      <c r="T42" s="166" t="str">
        <f>MID(PAA[[#This Row],[Meta Proyecto de Inversión]],6,2)</f>
        <v>1-</v>
      </c>
      <c r="U42" s="208" t="str">
        <f>IFERROR(VLOOKUP(N42,TD!$B$54:$F$58,2,0)," ")</f>
        <v>O230117</v>
      </c>
      <c r="V42" s="208" t="str">
        <f>IFERROR(VLOOKUP(N42,TD!$B$54:$F$58,3,0)," ")</f>
        <v>4599</v>
      </c>
      <c r="W42" s="208">
        <f>IFERROR(VLOOKUP(N42,TD!$B$54:$F$58,4,0)," ")</f>
        <v>20240207</v>
      </c>
      <c r="X42" s="206" t="s">
        <v>182</v>
      </c>
      <c r="Y42" s="208" t="str">
        <f>IFERROR(VLOOKUP(X42,TD!$J$55:$K$68,2,0)," ")</f>
        <v>Servicios para la planeación y sistemas de gestión y comunicación estratégica</v>
      </c>
      <c r="Z42" s="168" t="str">
        <f>CONCATENATE(X42,"-",Y42)</f>
        <v>13-Servicios para la planeación y sistemas de gestión y comunicación estratégica</v>
      </c>
      <c r="AA42" s="206" t="s">
        <v>229</v>
      </c>
      <c r="AB42" s="208" t="str">
        <f>IFERROR(VLOOKUP(AA42,TD!$N$55:$O$70,2,0)," ")</f>
        <v>Servicio de asistencia técnica</v>
      </c>
      <c r="AC42" s="168" t="str">
        <f>CONCATENATE(AA42,"_",AB42)</f>
        <v>031_Servicio de asistencia técnica</v>
      </c>
      <c r="AD42" s="168" t="str">
        <f>CONCATENATE(Z42," ",AC42)</f>
        <v>13-Servicios para la planeación y sistemas de gestión y comunicación estratégica 031_Servicio de asistencia técnica</v>
      </c>
      <c r="AE42" s="208" t="str">
        <f>CONCATENATE(U42,V42,W42,X42,AA42)</f>
        <v>O23011745992024020713031</v>
      </c>
      <c r="AF42" s="194" t="str">
        <f>IFERROR(VLOOKUP(AD42,TD!$J$70:$K$93,2,0)," ")</f>
        <v>PM/0131/0113/45990310207</v>
      </c>
      <c r="AG42" s="199" t="s">
        <v>385</v>
      </c>
      <c r="AH42" s="206" t="s">
        <v>193</v>
      </c>
      <c r="AI42" s="227" t="str">
        <f>CONCATENATE(PAA[[#This Row],[Id Interno]],"-",PAA[[#This Row],[tipo de Contrato (TH talento humano - B/S bienes y/o servicios)]],"-",S42,"-",T42,"-",PAA[[#This Row],[Objeto de la contratación]])</f>
        <v>20261084-TH-8126-1--Prestar servicios profesionales para apoyar jurídicamente la gestión contractual y administrativa de la Oficina Asesora de Planeación, de conformidad con los lineamientos internos y en el marco del Modelo Integrado de Planeación y Gestión - MIPG.</v>
      </c>
    </row>
    <row r="43" spans="2:35" ht="70" x14ac:dyDescent="0.35">
      <c r="B43" s="200">
        <v>20261088</v>
      </c>
      <c r="C43" s="193" t="s">
        <v>1342</v>
      </c>
      <c r="D43" s="200" t="s">
        <v>105</v>
      </c>
      <c r="E43" s="200" t="s">
        <v>363</v>
      </c>
      <c r="F43" s="200" t="s">
        <v>144</v>
      </c>
      <c r="G43" s="201" t="s">
        <v>382</v>
      </c>
      <c r="H43" s="202">
        <v>2</v>
      </c>
      <c r="I43" s="202">
        <v>15</v>
      </c>
      <c r="J43" s="223">
        <v>18750000</v>
      </c>
      <c r="K43" s="204" t="s">
        <v>398</v>
      </c>
      <c r="L43" s="205" t="s">
        <v>153</v>
      </c>
      <c r="M43" s="206" t="s">
        <v>420</v>
      </c>
      <c r="N43" s="200" t="s">
        <v>197</v>
      </c>
      <c r="O43" s="206" t="s">
        <v>886</v>
      </c>
      <c r="P43" s="206" t="s">
        <v>348</v>
      </c>
      <c r="Q43" s="207">
        <v>80111600</v>
      </c>
      <c r="R43" s="206" t="s">
        <v>208</v>
      </c>
      <c r="S43" s="195" t="str">
        <f>MID(PAA[[#This Row],[Meta Proyecto de Inversión]],1,4)</f>
        <v>8126</v>
      </c>
      <c r="T43" s="195" t="str">
        <f>MID(PAA[[#This Row],[Meta Proyecto de Inversión]],6,2)</f>
        <v>9-</v>
      </c>
      <c r="U43" s="208" t="str">
        <f>IFERROR(VLOOKUP(N43,TD!$B$54:$F$58,2,0)," ")</f>
        <v>O230117</v>
      </c>
      <c r="V43" s="208" t="str">
        <f>IFERROR(VLOOKUP(N43,TD!$B$54:$F$58,3,0)," ")</f>
        <v>4599</v>
      </c>
      <c r="W43" s="208">
        <f>IFERROR(VLOOKUP(N43,TD!$B$54:$F$58,4,0)," ")</f>
        <v>20240207</v>
      </c>
      <c r="X43" s="206" t="s">
        <v>174</v>
      </c>
      <c r="Y43" s="208" t="str">
        <f>IFERROR(VLOOKUP(X43,TD!$J$55:$K$68,2,0)," ")</f>
        <v>Infraestructura física, mantenimiento y dotación (Sedes construidas, mantenidas reforzadas)</v>
      </c>
      <c r="Z43" s="196" t="str">
        <f>CONCATENATE(X43,"-",Y43)</f>
        <v>08-Infraestructura física, mantenimiento y dotación (Sedes construidas, mantenidas reforzadas)</v>
      </c>
      <c r="AA43" s="206" t="s">
        <v>227</v>
      </c>
      <c r="AB43" s="208" t="str">
        <f>IFERROR(VLOOKUP(AA43,TD!$N$55:$O$70,2,0)," ")</f>
        <v>Sedes mantenidas</v>
      </c>
      <c r="AC43" s="196" t="str">
        <f>CONCATENATE(AA43,"_",AB43)</f>
        <v>016_Sedes mantenidas</v>
      </c>
      <c r="AD43" s="196" t="str">
        <f>CONCATENATE(Z43," ",AC43)</f>
        <v>08-Infraestructura física, mantenimiento y dotación (Sedes construidas, mantenidas reforzadas) 016_Sedes mantenidas</v>
      </c>
      <c r="AE43" s="208" t="str">
        <f>CONCATENATE(U43,V43,W43,X43,AA43)</f>
        <v>O23011745992024020708016</v>
      </c>
      <c r="AF43" s="208" t="str">
        <f>IFERROR(VLOOKUP(AD43,TD!$J$70:$K$93,2,0)," ")</f>
        <v>PM/0131/0108/45990160207</v>
      </c>
      <c r="AG43" s="199" t="s">
        <v>385</v>
      </c>
      <c r="AH43" s="206" t="s">
        <v>194</v>
      </c>
      <c r="AI43" s="227" t="str">
        <f>CONCATENATE(PAA[[#This Row],[Id Interno]],"-",PAA[[#This Row],[tipo de Contrato (TH talento humano - B/S bienes y/o servicios)]],"-",S43,"-",T43,"-",PAA[[#This Row],[Objeto de la contratación]])</f>
        <v>20261088-TH-8126-9--Adición y prórroga al contrato 370 de 2026 cuyo objeto es: "Prestar los servicios profesionales para apoyar la depuración de la cartera de cobro coactivo, así como actividades propias de la defensa judicial de la Entidad y demas actiuaciones relacionadas que requiera la Oficina Jurídica"</v>
      </c>
    </row>
    <row r="44" spans="2:35" ht="42" x14ac:dyDescent="0.35">
      <c r="B44" s="200">
        <v>20261089</v>
      </c>
      <c r="C44" s="197" t="s">
        <v>1343</v>
      </c>
      <c r="D44" s="200" t="s">
        <v>105</v>
      </c>
      <c r="E44" s="200" t="s">
        <v>363</v>
      </c>
      <c r="F44" s="200" t="s">
        <v>145</v>
      </c>
      <c r="G44" s="201" t="s">
        <v>382</v>
      </c>
      <c r="H44" s="202">
        <v>2</v>
      </c>
      <c r="I44" s="202">
        <v>18</v>
      </c>
      <c r="J44" s="223">
        <v>9377500</v>
      </c>
      <c r="K44" s="204" t="s">
        <v>398</v>
      </c>
      <c r="L44" s="205" t="s">
        <v>153</v>
      </c>
      <c r="M44" s="206" t="s">
        <v>420</v>
      </c>
      <c r="N44" s="200" t="s">
        <v>197</v>
      </c>
      <c r="O44" s="206" t="s">
        <v>886</v>
      </c>
      <c r="P44" s="206" t="s">
        <v>348</v>
      </c>
      <c r="Q44" s="207">
        <v>80111600</v>
      </c>
      <c r="R44" s="206" t="s">
        <v>208</v>
      </c>
      <c r="S44" s="195" t="str">
        <f>MID(PAA[[#This Row],[Meta Proyecto de Inversión]],1,4)</f>
        <v>8126</v>
      </c>
      <c r="T44" s="195" t="str">
        <f>MID(PAA[[#This Row],[Meta Proyecto de Inversión]],6,2)</f>
        <v>9-</v>
      </c>
      <c r="U44" s="208" t="str">
        <f>IFERROR(VLOOKUP(N44,TD!$B$54:$F$58,2,0)," ")</f>
        <v>O230117</v>
      </c>
      <c r="V44" s="208" t="str">
        <f>IFERROR(VLOOKUP(N44,TD!$B$54:$F$58,3,0)," ")</f>
        <v>4599</v>
      </c>
      <c r="W44" s="208">
        <f>IFERROR(VLOOKUP(N44,TD!$B$54:$F$58,4,0)," ")</f>
        <v>20240207</v>
      </c>
      <c r="X44" s="206" t="s">
        <v>174</v>
      </c>
      <c r="Y44" s="208" t="str">
        <f>IFERROR(VLOOKUP(X44,TD!$J$55:$K$68,2,0)," ")</f>
        <v>Infraestructura física, mantenimiento y dotación (Sedes construidas, mantenidas reforzadas)</v>
      </c>
      <c r="Z44" s="196" t="str">
        <f>CONCATENATE(X44,"-",Y44)</f>
        <v>08-Infraestructura física, mantenimiento y dotación (Sedes construidas, mantenidas reforzadas)</v>
      </c>
      <c r="AA44" s="206" t="s">
        <v>227</v>
      </c>
      <c r="AB44" s="208" t="str">
        <f>IFERROR(VLOOKUP(AA44,TD!$N$55:$O$70,2,0)," ")</f>
        <v>Sedes mantenidas</v>
      </c>
      <c r="AC44" s="196" t="str">
        <f>CONCATENATE(AA44,"_",AB44)</f>
        <v>016_Sedes mantenidas</v>
      </c>
      <c r="AD44" s="196" t="str">
        <f>CONCATENATE(Z44," ",AC44)</f>
        <v>08-Infraestructura física, mantenimiento y dotación (Sedes construidas, mantenidas reforzadas) 016_Sedes mantenidas</v>
      </c>
      <c r="AE44" s="208" t="str">
        <f>CONCATENATE(U44,V44,W44,X44,AA44)</f>
        <v>O23011745992024020708016</v>
      </c>
      <c r="AF44" s="208" t="str">
        <f>IFERROR(VLOOKUP(AD44,TD!$J$70:$K$93,2,0)," ")</f>
        <v>PM/0131/0108/45990160207</v>
      </c>
      <c r="AG44" s="199" t="s">
        <v>385</v>
      </c>
      <c r="AH44" s="206" t="s">
        <v>194</v>
      </c>
      <c r="AI44" s="227" t="str">
        <f>CONCATENATE(PAA[[#This Row],[Id Interno]],"-",PAA[[#This Row],[tipo de Contrato (TH talento humano - B/S bienes y/o servicios)]],"-",S44,"-",T44,"-",PAA[[#This Row],[Objeto de la contratación]])</f>
        <v>20261089-TH-8126-9--Adición y prórroga al contrato 413 de 2026 cuyo objeto es: "Prestar los servicios de apoyo para las gestiones documentales y administrativas requerida por la Oficina Jurídica".</v>
      </c>
    </row>
    <row r="45" spans="2:35" ht="42" x14ac:dyDescent="0.35">
      <c r="B45" s="200">
        <v>20261090</v>
      </c>
      <c r="C45" s="193" t="s">
        <v>413</v>
      </c>
      <c r="D45" s="200" t="s">
        <v>105</v>
      </c>
      <c r="E45" s="200" t="s">
        <v>363</v>
      </c>
      <c r="F45" s="200" t="s">
        <v>145</v>
      </c>
      <c r="G45" s="201" t="s">
        <v>382</v>
      </c>
      <c r="H45" s="202">
        <v>2</v>
      </c>
      <c r="I45" s="202">
        <v>15</v>
      </c>
      <c r="J45" s="223">
        <v>9000000</v>
      </c>
      <c r="K45" s="204" t="s">
        <v>398</v>
      </c>
      <c r="L45" s="205" t="s">
        <v>153</v>
      </c>
      <c r="M45" s="206" t="s">
        <v>420</v>
      </c>
      <c r="N45" s="200" t="s">
        <v>197</v>
      </c>
      <c r="O45" s="206" t="s">
        <v>886</v>
      </c>
      <c r="P45" s="206" t="s">
        <v>348</v>
      </c>
      <c r="Q45" s="207">
        <v>80111600</v>
      </c>
      <c r="R45" s="206" t="s">
        <v>208</v>
      </c>
      <c r="S45" s="195" t="str">
        <f>MID(PAA[[#This Row],[Meta Proyecto de Inversión]],1,4)</f>
        <v>8126</v>
      </c>
      <c r="T45" s="195" t="str">
        <f>MID(PAA[[#This Row],[Meta Proyecto de Inversión]],6,2)</f>
        <v>9-</v>
      </c>
      <c r="U45" s="208" t="str">
        <f>IFERROR(VLOOKUP(N45,TD!$B$54:$F$58,2,0)," ")</f>
        <v>O230117</v>
      </c>
      <c r="V45" s="208" t="str">
        <f>IFERROR(VLOOKUP(N45,TD!$B$54:$F$58,3,0)," ")</f>
        <v>4599</v>
      </c>
      <c r="W45" s="208">
        <f>IFERROR(VLOOKUP(N45,TD!$B$54:$F$58,4,0)," ")</f>
        <v>20240207</v>
      </c>
      <c r="X45" s="206" t="s">
        <v>174</v>
      </c>
      <c r="Y45" s="208" t="str">
        <f>IFERROR(VLOOKUP(X45,TD!$J$55:$K$68,2,0)," ")</f>
        <v>Infraestructura física, mantenimiento y dotación (Sedes construidas, mantenidas reforzadas)</v>
      </c>
      <c r="Z45" s="196" t="str">
        <f>CONCATENATE(X45,"-",Y45)</f>
        <v>08-Infraestructura física, mantenimiento y dotación (Sedes construidas, mantenidas reforzadas)</v>
      </c>
      <c r="AA45" s="206" t="s">
        <v>227</v>
      </c>
      <c r="AB45" s="208" t="str">
        <f>IFERROR(VLOOKUP(AA45,TD!$N$55:$O$70,2,0)," ")</f>
        <v>Sedes mantenidas</v>
      </c>
      <c r="AC45" s="196" t="str">
        <f>CONCATENATE(AA45,"_",AB45)</f>
        <v>016_Sedes mantenidas</v>
      </c>
      <c r="AD45" s="196" t="str">
        <f>CONCATENATE(Z45," ",AC45)</f>
        <v>08-Infraestructura física, mantenimiento y dotación (Sedes construidas, mantenidas reforzadas) 016_Sedes mantenidas</v>
      </c>
      <c r="AE45" s="208" t="str">
        <f>CONCATENATE(U45,V45,W45,X45,AA45)</f>
        <v>O23011745992024020708016</v>
      </c>
      <c r="AF45" s="208" t="str">
        <f>IFERROR(VLOOKUP(AD45,TD!$J$70:$K$93,2,0)," ")</f>
        <v>PM/0131/0108/45990160207</v>
      </c>
      <c r="AG45" s="199" t="s">
        <v>385</v>
      </c>
      <c r="AH45" s="206" t="s">
        <v>193</v>
      </c>
      <c r="AI45" s="227" t="str">
        <f>CONCATENATE(PAA[[#This Row],[Id Interno]],"-",PAA[[#This Row],[tipo de Contrato (TH talento humano - B/S bienes y/o servicios)]],"-",S45,"-",T45,"-",PAA[[#This Row],[Objeto de la contratación]])</f>
        <v>20261090-TH-8126-9--Prestar los servicios de apoyo para las gestiones administrativas requeridas en la Oficina Jurídica.</v>
      </c>
    </row>
    <row r="46" spans="2:35" ht="70" x14ac:dyDescent="0.35">
      <c r="B46" s="200">
        <v>20261091</v>
      </c>
      <c r="C46" s="197" t="s">
        <v>1344</v>
      </c>
      <c r="D46" s="200" t="s">
        <v>105</v>
      </c>
      <c r="E46" s="200" t="s">
        <v>363</v>
      </c>
      <c r="F46" s="200" t="s">
        <v>144</v>
      </c>
      <c r="G46" s="201" t="s">
        <v>382</v>
      </c>
      <c r="H46" s="202">
        <v>2</v>
      </c>
      <c r="I46" s="202">
        <v>15</v>
      </c>
      <c r="J46" s="203">
        <v>22500000</v>
      </c>
      <c r="K46" s="204" t="s">
        <v>398</v>
      </c>
      <c r="L46" s="205" t="s">
        <v>153</v>
      </c>
      <c r="M46" s="206" t="s">
        <v>420</v>
      </c>
      <c r="N46" s="200" t="s">
        <v>197</v>
      </c>
      <c r="O46" s="206" t="s">
        <v>886</v>
      </c>
      <c r="P46" s="206" t="s">
        <v>348</v>
      </c>
      <c r="Q46" s="207">
        <v>80111600</v>
      </c>
      <c r="R46" s="206" t="s">
        <v>208</v>
      </c>
      <c r="S46" s="195" t="str">
        <f>MID(PAA[[#This Row],[Meta Proyecto de Inversión]],1,4)</f>
        <v>8126</v>
      </c>
      <c r="T46" s="195" t="str">
        <f>MID(PAA[[#This Row],[Meta Proyecto de Inversión]],6,2)</f>
        <v>9-</v>
      </c>
      <c r="U46" s="208" t="str">
        <f>IFERROR(VLOOKUP(N46,TD!$B$54:$F$58,2,0)," ")</f>
        <v>O230117</v>
      </c>
      <c r="V46" s="208" t="str">
        <f>IFERROR(VLOOKUP(N46,TD!$B$54:$F$58,3,0)," ")</f>
        <v>4599</v>
      </c>
      <c r="W46" s="208">
        <f>IFERROR(VLOOKUP(N46,TD!$B$54:$F$58,4,0)," ")</f>
        <v>20240207</v>
      </c>
      <c r="X46" s="206" t="s">
        <v>174</v>
      </c>
      <c r="Y46" s="208" t="str">
        <f>IFERROR(VLOOKUP(X46,TD!$J$55:$K$68,2,0)," ")</f>
        <v>Infraestructura física, mantenimiento y dotación (Sedes construidas, mantenidas reforzadas)</v>
      </c>
      <c r="Z46" s="196" t="str">
        <f>CONCATENATE(X46,"-",Y46)</f>
        <v>08-Infraestructura física, mantenimiento y dotación (Sedes construidas, mantenidas reforzadas)</v>
      </c>
      <c r="AA46" s="206" t="s">
        <v>227</v>
      </c>
      <c r="AB46" s="208" t="str">
        <f>IFERROR(VLOOKUP(AA46,TD!$N$55:$O$70,2,0)," ")</f>
        <v>Sedes mantenidas</v>
      </c>
      <c r="AC46" s="196" t="str">
        <f>CONCATENATE(AA46,"_",AB46)</f>
        <v>016_Sedes mantenidas</v>
      </c>
      <c r="AD46" s="196" t="str">
        <f>CONCATENATE(Z46," ",AC46)</f>
        <v>08-Infraestructura física, mantenimiento y dotación (Sedes construidas, mantenidas reforzadas) 016_Sedes mantenidas</v>
      </c>
      <c r="AE46" s="208" t="str">
        <f>CONCATENATE(U46,V46,W46,X46,AA46)</f>
        <v>O23011745992024020708016</v>
      </c>
      <c r="AF46" s="208" t="str">
        <f>IFERROR(VLOOKUP(AD46,TD!$J$70:$K$93,2,0)," ")</f>
        <v>PM/0131/0108/45990160207</v>
      </c>
      <c r="AG46" s="199" t="s">
        <v>385</v>
      </c>
      <c r="AH46" s="206" t="s">
        <v>194</v>
      </c>
      <c r="AI46" s="227" t="str">
        <f>CONCATENATE(PAA[[#This Row],[Id Interno]],"-",PAA[[#This Row],[tipo de Contrato (TH talento humano - B/S bienes y/o servicios)]],"-",S46,"-",T46,"-",PAA[[#This Row],[Objeto de la contratación]])</f>
        <v>20261091-TH-8126-9--Adición y prórroga al contrato 340 de 2026 cuyo objeto es: "Prestar los servicios profesionales para realizar el acompañamiento administrativo y financiero en temas de liquidación y cierre de expedientes, como demás actuaciones administrativas requeridas de los procesos contractuales"</v>
      </c>
    </row>
    <row r="47" spans="2:35" ht="70" x14ac:dyDescent="0.35">
      <c r="B47" s="200">
        <v>20261092</v>
      </c>
      <c r="C47" s="197" t="s">
        <v>1345</v>
      </c>
      <c r="D47" s="200" t="s">
        <v>105</v>
      </c>
      <c r="E47" s="200" t="s">
        <v>363</v>
      </c>
      <c r="F47" s="200" t="s">
        <v>144</v>
      </c>
      <c r="G47" s="201" t="s">
        <v>382</v>
      </c>
      <c r="H47" s="202">
        <v>1</v>
      </c>
      <c r="I47" s="202">
        <v>24</v>
      </c>
      <c r="J47" s="203">
        <v>10372500</v>
      </c>
      <c r="K47" s="204" t="s">
        <v>398</v>
      </c>
      <c r="L47" s="205" t="s">
        <v>153</v>
      </c>
      <c r="M47" s="206" t="s">
        <v>420</v>
      </c>
      <c r="N47" s="200" t="s">
        <v>197</v>
      </c>
      <c r="O47" s="206" t="s">
        <v>886</v>
      </c>
      <c r="P47" s="206" t="s">
        <v>348</v>
      </c>
      <c r="Q47" s="207">
        <v>80111600</v>
      </c>
      <c r="R47" s="206" t="s">
        <v>208</v>
      </c>
      <c r="S47" s="195" t="str">
        <f>MID(PAA[[#This Row],[Meta Proyecto de Inversión]],1,4)</f>
        <v>8126</v>
      </c>
      <c r="T47" s="195" t="str">
        <f>MID(PAA[[#This Row],[Meta Proyecto de Inversión]],6,2)</f>
        <v>9-</v>
      </c>
      <c r="U47" s="208" t="str">
        <f>IFERROR(VLOOKUP(N47,TD!$B$54:$F$58,2,0)," ")</f>
        <v>O230117</v>
      </c>
      <c r="V47" s="208" t="str">
        <f>IFERROR(VLOOKUP(N47,TD!$B$54:$F$58,3,0)," ")</f>
        <v>4599</v>
      </c>
      <c r="W47" s="208">
        <f>IFERROR(VLOOKUP(N47,TD!$B$54:$F$58,4,0)," ")</f>
        <v>20240207</v>
      </c>
      <c r="X47" s="206" t="s">
        <v>174</v>
      </c>
      <c r="Y47" s="208" t="str">
        <f>IFERROR(VLOOKUP(X47,TD!$J$55:$K$68,2,0)," ")</f>
        <v>Infraestructura física, mantenimiento y dotación (Sedes construidas, mantenidas reforzadas)</v>
      </c>
      <c r="Z47" s="196" t="str">
        <f>CONCATENATE(X47,"-",Y47)</f>
        <v>08-Infraestructura física, mantenimiento y dotación (Sedes construidas, mantenidas reforzadas)</v>
      </c>
      <c r="AA47" s="206" t="s">
        <v>227</v>
      </c>
      <c r="AB47" s="208" t="str">
        <f>IFERROR(VLOOKUP(AA47,TD!$N$55:$O$70,2,0)," ")</f>
        <v>Sedes mantenidas</v>
      </c>
      <c r="AC47" s="196" t="str">
        <f>CONCATENATE(AA47,"_",AB47)</f>
        <v>016_Sedes mantenidas</v>
      </c>
      <c r="AD47" s="196" t="str">
        <f>CONCATENATE(Z47," ",AC47)</f>
        <v>08-Infraestructura física, mantenimiento y dotación (Sedes construidas, mantenidas reforzadas) 016_Sedes mantenidas</v>
      </c>
      <c r="AE47" s="208" t="str">
        <f>CONCATENATE(U47,V47,W47,X47,AA47)</f>
        <v>O23011745992024020708016</v>
      </c>
      <c r="AF47" s="208" t="str">
        <f>IFERROR(VLOOKUP(AD47,TD!$J$70:$K$93,2,0)," ")</f>
        <v>PM/0131/0108/45990160207</v>
      </c>
      <c r="AG47" s="199" t="s">
        <v>385</v>
      </c>
      <c r="AH47" s="206" t="s">
        <v>194</v>
      </c>
      <c r="AI47" s="227" t="str">
        <f>CONCATENATE(PAA[[#This Row],[Id Interno]],"-",PAA[[#This Row],[tipo de Contrato (TH talento humano - B/S bienes y/o servicios)]],"-",S47,"-",T47,"-",PAA[[#This Row],[Objeto de la contratación]])</f>
        <v>20261092-TH-8126-9--Adición y prórroga al contrato 443 de 2026 cuyo objeto es: "Prestar servicios profesionales para realizar la gestión de tramites y actividades que se requieran en los diferentes procesos disciplinarios propios de la etapa de juzgamiento de la Oficina Jurídica en la UAECOB"</v>
      </c>
    </row>
    <row r="48" spans="2:35" ht="56" x14ac:dyDescent="0.35">
      <c r="B48" s="200">
        <v>20261093</v>
      </c>
      <c r="C48" s="197" t="s">
        <v>1346</v>
      </c>
      <c r="D48" s="200" t="s">
        <v>83</v>
      </c>
      <c r="E48" s="200" t="s">
        <v>402</v>
      </c>
      <c r="F48" s="200" t="s">
        <v>101</v>
      </c>
      <c r="G48" s="201" t="s">
        <v>383</v>
      </c>
      <c r="H48" s="202">
        <v>4</v>
      </c>
      <c r="I48" s="202">
        <v>0</v>
      </c>
      <c r="J48" s="203">
        <v>11080000</v>
      </c>
      <c r="K48" s="204" t="s">
        <v>398</v>
      </c>
      <c r="L48" s="205" t="s">
        <v>154</v>
      </c>
      <c r="M48" s="206" t="s">
        <v>438</v>
      </c>
      <c r="N48" s="200" t="s">
        <v>330</v>
      </c>
      <c r="O48" s="206" t="s">
        <v>886</v>
      </c>
      <c r="P48" s="206" t="s">
        <v>161</v>
      </c>
      <c r="Q48" s="207" t="s">
        <v>619</v>
      </c>
      <c r="R48" s="206" t="s">
        <v>331</v>
      </c>
      <c r="S48" s="195" t="s">
        <v>331</v>
      </c>
      <c r="T48" s="195" t="s">
        <v>331</v>
      </c>
      <c r="U48" s="208" t="str">
        <f>IFERROR(VLOOKUP(N48,TD!$B$54:$F$58,2,0)," ")</f>
        <v>NA</v>
      </c>
      <c r="V48" s="208" t="str">
        <f>IFERROR(VLOOKUP(N48,TD!$B$54:$F$58,3,0)," ")</f>
        <v>NA</v>
      </c>
      <c r="W48" s="208" t="str">
        <f>IFERROR(VLOOKUP(N48,TD!$B$54:$F$58,4,0)," ")</f>
        <v>NA</v>
      </c>
      <c r="X48" s="206" t="s">
        <v>335</v>
      </c>
      <c r="Y48" s="208" t="str">
        <f>IFERROR(VLOOKUP(X48,TD!$J$55:$K$68,2,0)," ")</f>
        <v>N/A</v>
      </c>
      <c r="Z48" s="196" t="str">
        <f>CONCATENATE(X48,"-",Y48)</f>
        <v>N/A-N/A</v>
      </c>
      <c r="AA48" s="206" t="s">
        <v>335</v>
      </c>
      <c r="AB48" s="208" t="str">
        <f>IFERROR(VLOOKUP(AA48,TD!$N$55:$O$70,2,0)," ")</f>
        <v>N/A</v>
      </c>
      <c r="AC48" s="196" t="str">
        <f>CONCATENATE(AA48,"_",AB48)</f>
        <v>N/A_N/A</v>
      </c>
      <c r="AD48" s="196" t="str">
        <f>CONCATENATE(Z48," ",AC48)</f>
        <v>N/A-N/A N/A_N/A</v>
      </c>
      <c r="AE48" s="208" t="str">
        <f>CONCATENATE(U48,V48,W48,X48,AA48)</f>
        <v>NANANAN/AN/A</v>
      </c>
      <c r="AF48" s="208" t="str">
        <f>IFERROR(VLOOKUP(AD48,TD!$J$70:$K$93,2,0)," ")</f>
        <v>N/A</v>
      </c>
      <c r="AG48" s="199" t="s">
        <v>332</v>
      </c>
      <c r="AH48" s="206" t="s">
        <v>194</v>
      </c>
      <c r="AI48" s="227" t="str">
        <f>CONCATENATE(PAA[[#This Row],[Id Interno]],"-",PAA[[#This Row],[tipo de Contrato (TH talento humano - B/S bienes y/o servicios)]],"-",S48,"-",T48,"-",PAA[[#This Row],[Objeto de la contratación]])</f>
        <v>20261093-BS-No aplica-No aplica-Adición  Cto 603-2026 cuyo objeto es "SGH - Adquirir elementos de protección personal para prevenir la aparición de enfermedades ocupacionales en el oido, de los funcionarios de la UAE Cuerpo Oficial de Bomberos de Bogotá"</v>
      </c>
    </row>
    <row r="49" spans="2:35" ht="84" x14ac:dyDescent="0.35">
      <c r="B49" s="200">
        <v>20261094</v>
      </c>
      <c r="C49" s="197" t="s">
        <v>1347</v>
      </c>
      <c r="D49" s="200" t="s">
        <v>105</v>
      </c>
      <c r="E49" s="200" t="s">
        <v>363</v>
      </c>
      <c r="F49" s="200" t="s">
        <v>144</v>
      </c>
      <c r="G49" s="201" t="s">
        <v>384</v>
      </c>
      <c r="H49" s="202">
        <v>0</v>
      </c>
      <c r="I49" s="202">
        <v>17</v>
      </c>
      <c r="J49" s="203">
        <v>3150274</v>
      </c>
      <c r="K49" s="204" t="s">
        <v>398</v>
      </c>
      <c r="L49" s="205" t="s">
        <v>151</v>
      </c>
      <c r="M49" s="206" t="s">
        <v>401</v>
      </c>
      <c r="N49" s="200" t="s">
        <v>197</v>
      </c>
      <c r="O49" s="206" t="s">
        <v>886</v>
      </c>
      <c r="P49" s="206" t="s">
        <v>348</v>
      </c>
      <c r="Q49" s="207">
        <v>80111600</v>
      </c>
      <c r="R49" s="206" t="s">
        <v>204</v>
      </c>
      <c r="S49" s="195" t="str">
        <f>MID(PAA[[#This Row],[Meta Proyecto de Inversión]],1,4)</f>
        <v>8126</v>
      </c>
      <c r="T49" s="195" t="str">
        <f>MID(PAA[[#This Row],[Meta Proyecto de Inversión]],6,2)</f>
        <v>5-</v>
      </c>
      <c r="U49" s="208" t="str">
        <f>IFERROR(VLOOKUP(N49,TD!$B$54:$F$58,2,0)," ")</f>
        <v>O230117</v>
      </c>
      <c r="V49" s="208" t="str">
        <f>IFERROR(VLOOKUP(N49,TD!$B$54:$F$58,3,0)," ")</f>
        <v>4599</v>
      </c>
      <c r="W49" s="208">
        <f>IFERROR(VLOOKUP(N49,TD!$B$54:$F$58,4,0)," ")</f>
        <v>20240207</v>
      </c>
      <c r="X49" s="206" t="s">
        <v>168</v>
      </c>
      <c r="Y49" s="208" t="str">
        <f>IFERROR(VLOOKUP(X49,TD!$J$55:$K$68,2,0)," ")</f>
        <v>Infraestructura Tecnológica   (Sistemas de Información y Tecnologia)</v>
      </c>
      <c r="Z49" s="196" t="str">
        <f>CONCATENATE(X49,"-",Y49)</f>
        <v>11-Infraestructura Tecnológica   (Sistemas de Información y Tecnologia)</v>
      </c>
      <c r="AA49" s="206" t="s">
        <v>228</v>
      </c>
      <c r="AB49" s="208" t="str">
        <f>IFERROR(VLOOKUP(AA49,TD!$N$55:$O$70,2,0)," ")</f>
        <v>Servicios tecnológicos</v>
      </c>
      <c r="AC49" s="196" t="str">
        <f>CONCATENATE(AA49,"_",AB49)</f>
        <v>007_Servicios tecnológicos</v>
      </c>
      <c r="AD49" s="196" t="str">
        <f>CONCATENATE(Z49," ",AC49)</f>
        <v>11-Infraestructura Tecnológica   (Sistemas de Información y Tecnologia) 007_Servicios tecnológicos</v>
      </c>
      <c r="AE49" s="208" t="str">
        <f>CONCATENATE(U49,V49,W49,X49,AA49)</f>
        <v>O23011745992024020711007</v>
      </c>
      <c r="AF49" s="208" t="str">
        <f>IFERROR(VLOOKUP(AD49,TD!$J$70:$K$93,2,0)," ")</f>
        <v>PM/0131/0111/45990070207</v>
      </c>
      <c r="AG49" s="199" t="s">
        <v>385</v>
      </c>
      <c r="AH49" s="206" t="s">
        <v>194</v>
      </c>
      <c r="AI49" s="227" t="str">
        <f>CONCATENATE(PAA[[#This Row],[Id Interno]],"-",PAA[[#This Row],[tipo de Contrato (TH talento humano - B/S bienes y/o servicios)]],"-",S49,"-",T49,"-",PAA[[#This Row],[Objeto de la contratación]])</f>
        <v>20261094-TH-8126-5--Adicion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v>
      </c>
    </row>
    <row r="50" spans="2:35" ht="84" x14ac:dyDescent="0.35">
      <c r="B50" s="200">
        <v>20261095</v>
      </c>
      <c r="C50" s="197" t="s">
        <v>820</v>
      </c>
      <c r="D50" s="200" t="s">
        <v>105</v>
      </c>
      <c r="E50" s="200" t="s">
        <v>363</v>
      </c>
      <c r="F50" s="200" t="s">
        <v>144</v>
      </c>
      <c r="G50" s="201" t="s">
        <v>382</v>
      </c>
      <c r="H50" s="202">
        <v>2</v>
      </c>
      <c r="I50" s="202">
        <v>0</v>
      </c>
      <c r="J50" s="203">
        <v>16000000</v>
      </c>
      <c r="K50" s="204" t="s">
        <v>398</v>
      </c>
      <c r="L50" s="205" t="s">
        <v>158</v>
      </c>
      <c r="M50" s="206" t="s">
        <v>421</v>
      </c>
      <c r="N50" s="200" t="s">
        <v>198</v>
      </c>
      <c r="O50" s="206" t="s">
        <v>887</v>
      </c>
      <c r="P50" s="206" t="s">
        <v>348</v>
      </c>
      <c r="Q50" s="207">
        <v>80111600</v>
      </c>
      <c r="R50" s="206" t="s">
        <v>211</v>
      </c>
      <c r="S50" s="166" t="str">
        <f>MID(PAA[[#This Row],[Meta Proyecto de Inversión]],1,4)</f>
        <v>8173</v>
      </c>
      <c r="T50" s="166" t="str">
        <f>MID(PAA[[#This Row],[Meta Proyecto de Inversión]],6,2)</f>
        <v>2-</v>
      </c>
      <c r="U50" s="208" t="str">
        <f>IFERROR(VLOOKUP(N50,TD!$B$54:$F$58,2,0)," ")</f>
        <v>O230117</v>
      </c>
      <c r="V50" s="208" t="str">
        <f>IFERROR(VLOOKUP(N50,TD!$B$54:$F$58,3,0)," ")</f>
        <v>4503</v>
      </c>
      <c r="W50" s="208">
        <f>IFERROR(VLOOKUP(N50,TD!$B$54:$F$58,4,0)," ")</f>
        <v>20240255</v>
      </c>
      <c r="X50" s="206" t="s">
        <v>164</v>
      </c>
      <c r="Y50" s="208" t="str">
        <f>IFERROR(VLOOKUP(X50,TD!$J$55:$K$68,2,0)," ")</f>
        <v>Servicio de atención a incidentes y emergencias.</v>
      </c>
      <c r="Z50" s="168" t="str">
        <f>CONCATENATE(X50,"-",Y50)</f>
        <v>04-Servicio de atención a incidentes y emergencias.</v>
      </c>
      <c r="AA50" s="206" t="s">
        <v>221</v>
      </c>
      <c r="AB50" s="208" t="str">
        <f>IFERROR(VLOOKUP(AA50,TD!$N$55:$O$70,2,0)," ")</f>
        <v>Servicio de atención a emergencias y desastres</v>
      </c>
      <c r="AC50" s="168" t="str">
        <f>CONCATENATE(AA50,"_",AB50)</f>
        <v>004_Servicio de atención a emergencias y desastres</v>
      </c>
      <c r="AD50" s="168" t="str">
        <f>CONCATENATE(Z50," ",AC50)</f>
        <v>04-Servicio de atención a incidentes y emergencias. 004_Servicio de atención a emergencias y desastres</v>
      </c>
      <c r="AE50" s="208" t="str">
        <f>CONCATENATE(U50,V50,W50,X50,AA50)</f>
        <v>O23011745032024025504004</v>
      </c>
      <c r="AF50" s="208" t="str">
        <f>IFERROR(VLOOKUP(AD50,TD!$J$70:$K$93,2,0)," ")</f>
        <v>PM/0131/0104/45030040255</v>
      </c>
      <c r="AG50" s="199" t="s">
        <v>385</v>
      </c>
      <c r="AH50" s="206" t="s">
        <v>193</v>
      </c>
      <c r="AI50" s="227" t="str">
        <f>CONCATENATE(PAA[[#This Row],[Id Interno]],"-",PAA[[#This Row],[tipo de Contrato (TH talento humano - B/S bienes y/o servicios)]],"-",S50,"-",T50,"-",PAA[[#This Row],[Objeto de la contratación]])</f>
        <v>20261095-TH-8173-2--Prestar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51" spans="2:35" ht="70" x14ac:dyDescent="0.35">
      <c r="B51" s="197">
        <v>20261096</v>
      </c>
      <c r="C51" s="197" t="s">
        <v>1350</v>
      </c>
      <c r="D51" s="197" t="s">
        <v>105</v>
      </c>
      <c r="E51" s="197" t="s">
        <v>363</v>
      </c>
      <c r="F51" s="197" t="s">
        <v>144</v>
      </c>
      <c r="G51" s="201" t="s">
        <v>382</v>
      </c>
      <c r="H51" s="218">
        <v>3</v>
      </c>
      <c r="I51" s="218">
        <v>0</v>
      </c>
      <c r="J51" s="199">
        <v>27900000</v>
      </c>
      <c r="K51" s="214" t="s">
        <v>398</v>
      </c>
      <c r="L51" s="209" t="s">
        <v>157</v>
      </c>
      <c r="M51" s="198" t="s">
        <v>483</v>
      </c>
      <c r="N51" s="197" t="s">
        <v>198</v>
      </c>
      <c r="O51" s="198" t="s">
        <v>887</v>
      </c>
      <c r="P51" s="198" t="s">
        <v>348</v>
      </c>
      <c r="Q51" s="215">
        <v>80111600</v>
      </c>
      <c r="R51" s="198" t="s">
        <v>213</v>
      </c>
      <c r="S51" s="225" t="str">
        <f>MID(PAA[[#This Row],[Meta Proyecto de Inversión]],1,4)</f>
        <v>8173</v>
      </c>
      <c r="T51" s="225" t="str">
        <f>MID(PAA[[#This Row],[Meta Proyecto de Inversión]],6,2)</f>
        <v>4-</v>
      </c>
      <c r="U51" s="194" t="str">
        <f>IFERROR(VLOOKUP(N51,TD!$B$54:$F$58,2,0)," ")</f>
        <v>O230117</v>
      </c>
      <c r="V51" s="194" t="str">
        <f>IFERROR(VLOOKUP(N51,TD!$B$54:$F$58,3,0)," ")</f>
        <v>4503</v>
      </c>
      <c r="W51" s="194">
        <f>IFERROR(VLOOKUP(N51,TD!$B$54:$F$58,4,0)," ")</f>
        <v>20240255</v>
      </c>
      <c r="X51" s="198" t="s">
        <v>176</v>
      </c>
      <c r="Y51" s="194" t="str">
        <f>IFERROR(VLOOKUP(X51,TD!$J$55:$K$68,2,0)," ")</f>
        <v>Servicio de mantenimiento, dotación (HEA´s y equipo menor) y adquisición de vehiculos   especializados para la atención de emergencias.</v>
      </c>
      <c r="Z51" s="216" t="str">
        <f>CONCATENATE(X51,"-",Y51)</f>
        <v>09-Servicio de mantenimiento, dotación (HEA´s y equipo menor) y adquisición de vehiculos   especializados para la atención de emergencias.</v>
      </c>
      <c r="AA51" s="198" t="s">
        <v>221</v>
      </c>
      <c r="AB51" s="194" t="str">
        <f>IFERROR(VLOOKUP(AA51,TD!$N$55:$O$70,2,0)," ")</f>
        <v>Servicio de atención a emergencias y desastres</v>
      </c>
      <c r="AC51" s="216" t="str">
        <f>CONCATENATE(AA51,"_",AB51)</f>
        <v>004_Servicio de atención a emergencias y desastres</v>
      </c>
      <c r="AD51" s="216" t="str">
        <f>CONCATENATE(Z51," ",AC51)</f>
        <v>09-Servicio de mantenimiento, dotación (HEA´s y equipo menor) y adquisición de vehiculos   especializados para la atención de emergencias. 004_Servicio de atención a emergencias y desastres</v>
      </c>
      <c r="AE51" s="194" t="str">
        <f>CONCATENATE(U51,V51,W51,X51,AA51)</f>
        <v>O23011745032024025509004</v>
      </c>
      <c r="AF51" s="194" t="str">
        <f>IFERROR(VLOOKUP(AD51,TD!$J$70:$K$93,2,0)," ")</f>
        <v>PM/0131/0109/45030040255</v>
      </c>
      <c r="AG51" s="199" t="s">
        <v>385</v>
      </c>
      <c r="AH51" s="198" t="s">
        <v>194</v>
      </c>
      <c r="AI51" s="227" t="str">
        <f>CONCATENATE(PAA[[#This Row],[Id Interno]],"-",PAA[[#This Row],[tipo de Contrato (TH talento humano - B/S bienes y/o servicios)]],"-",S51,"-",T51,"-",PAA[[#This Row],[Objeto de la contratación]])</f>
        <v>20261096-TH-8173-4--Adición y Prorroga del Contrato 115 de 2026, cuyo objeto es "Prestación de servicios profesionales para la gestión, seguimiento y control administrativo, técnico y operativo del proceso de mantenimiento del parque automotor a cargo de la Subdirección Logística - SBLG."</v>
      </c>
    </row>
    <row r="52" spans="2:35" ht="42" x14ac:dyDescent="0.35">
      <c r="B52" s="197">
        <v>20261097</v>
      </c>
      <c r="C52" s="197" t="s">
        <v>784</v>
      </c>
      <c r="D52" s="197" t="s">
        <v>105</v>
      </c>
      <c r="E52" s="197" t="s">
        <v>363</v>
      </c>
      <c r="F52" s="197" t="s">
        <v>144</v>
      </c>
      <c r="G52" s="201" t="s">
        <v>380</v>
      </c>
      <c r="H52" s="218">
        <v>2</v>
      </c>
      <c r="I52" s="218">
        <v>0</v>
      </c>
      <c r="J52" s="199">
        <v>11000000</v>
      </c>
      <c r="K52" s="214" t="s">
        <v>398</v>
      </c>
      <c r="L52" s="209" t="s">
        <v>157</v>
      </c>
      <c r="M52" s="198" t="s">
        <v>483</v>
      </c>
      <c r="N52" s="197" t="s">
        <v>198</v>
      </c>
      <c r="O52" s="198" t="s">
        <v>887</v>
      </c>
      <c r="P52" s="198" t="s">
        <v>348</v>
      </c>
      <c r="Q52" s="215">
        <v>80111600</v>
      </c>
      <c r="R52" s="198" t="s">
        <v>213</v>
      </c>
      <c r="S52" s="225" t="str">
        <f>MID(PAA[[#This Row],[Meta Proyecto de Inversión]],1,4)</f>
        <v>8173</v>
      </c>
      <c r="T52" s="225" t="str">
        <f>MID(PAA[[#This Row],[Meta Proyecto de Inversión]],6,2)</f>
        <v>4-</v>
      </c>
      <c r="U52" s="194" t="str">
        <f>IFERROR(VLOOKUP(N52,TD!$B$54:$F$58,2,0)," ")</f>
        <v>O230117</v>
      </c>
      <c r="V52" s="194" t="str">
        <f>IFERROR(VLOOKUP(N52,TD!$B$54:$F$58,3,0)," ")</f>
        <v>4503</v>
      </c>
      <c r="W52" s="194">
        <f>IFERROR(VLOOKUP(N52,TD!$B$54:$F$58,4,0)," ")</f>
        <v>20240255</v>
      </c>
      <c r="X52" s="198" t="s">
        <v>180</v>
      </c>
      <c r="Y52" s="194" t="str">
        <f>IFERROR(VLOOKUP(X52,TD!$J$55:$K$68,2,0)," ")</f>
        <v>Servicio de apoyo   logístico  en eventos operativos y/o emergencias.</v>
      </c>
      <c r="Z52" s="216" t="str">
        <f>CONCATENATE(X52,"-",Y52)</f>
        <v>12-Servicio de apoyo   logístico  en eventos operativos y/o emergencias.</v>
      </c>
      <c r="AA52" s="198" t="s">
        <v>221</v>
      </c>
      <c r="AB52" s="194" t="str">
        <f>IFERROR(VLOOKUP(AA52,TD!$N$55:$O$70,2,0)," ")</f>
        <v>Servicio de atención a emergencias y desastres</v>
      </c>
      <c r="AC52" s="216" t="str">
        <f>CONCATENATE(AA52,"_",AB52)</f>
        <v>004_Servicio de atención a emergencias y desastres</v>
      </c>
      <c r="AD52" s="216" t="str">
        <f>CONCATENATE(Z52," ",AC52)</f>
        <v>12-Servicio de apoyo   logístico  en eventos operativos y/o emergencias. 004_Servicio de atención a emergencias y desastres</v>
      </c>
      <c r="AE52" s="194" t="str">
        <f>CONCATENATE(U52,V52,W52,X52,AA52)</f>
        <v>O23011745032024025512004</v>
      </c>
      <c r="AF52" s="194" t="str">
        <f>IFERROR(VLOOKUP(AD52,TD!$J$70:$K$93,2,0)," ")</f>
        <v>PM/0131/0112/45030040255</v>
      </c>
      <c r="AG52" s="199" t="s">
        <v>385</v>
      </c>
      <c r="AH52" s="198" t="s">
        <v>193</v>
      </c>
      <c r="AI52" s="227" t="str">
        <f>CONCATENATE(PAA[[#This Row],[Id Interno]],"-",PAA[[#This Row],[tipo de Contrato (TH talento humano - B/S bienes y/o servicios)]],"-",S52,"-",T52,"-",PAA[[#This Row],[Objeto de la contratación]])</f>
        <v>20261097-TH-8173-4--Prestar servicios profesionales para apoyar en las actividades administrativas y tecnicas de los elementos e inventario a cargo Subdirección Logistica  – SBLG.</v>
      </c>
    </row>
    <row r="53" spans="2:35" ht="70" x14ac:dyDescent="0.35">
      <c r="B53" s="197">
        <v>20261098</v>
      </c>
      <c r="C53" s="197" t="s">
        <v>1354</v>
      </c>
      <c r="D53" s="200" t="s">
        <v>105</v>
      </c>
      <c r="E53" s="200" t="s">
        <v>363</v>
      </c>
      <c r="F53" s="200" t="s">
        <v>144</v>
      </c>
      <c r="G53" s="201" t="s">
        <v>382</v>
      </c>
      <c r="H53" s="202">
        <v>2</v>
      </c>
      <c r="I53" s="202">
        <v>15</v>
      </c>
      <c r="J53" s="203">
        <v>17500000</v>
      </c>
      <c r="K53" s="204" t="s">
        <v>398</v>
      </c>
      <c r="L53" s="205" t="s">
        <v>157</v>
      </c>
      <c r="M53" s="206" t="s">
        <v>483</v>
      </c>
      <c r="N53" s="200" t="s">
        <v>198</v>
      </c>
      <c r="O53" s="206" t="s">
        <v>887</v>
      </c>
      <c r="P53" s="206" t="s">
        <v>348</v>
      </c>
      <c r="Q53" s="207">
        <v>80111600</v>
      </c>
      <c r="R53" s="206" t="s">
        <v>213</v>
      </c>
      <c r="S53" s="225" t="str">
        <f>MID(PAA[[#This Row],[Meta Proyecto de Inversión]],1,4)</f>
        <v>8173</v>
      </c>
      <c r="T53" s="225" t="str">
        <f>MID(PAA[[#This Row],[Meta Proyecto de Inversión]],6,2)</f>
        <v>4-</v>
      </c>
      <c r="U53" s="208" t="str">
        <f>IFERROR(VLOOKUP(N53,TD!$B$54:$F$58,2,0)," ")</f>
        <v>O230117</v>
      </c>
      <c r="V53" s="208" t="str">
        <f>IFERROR(VLOOKUP(N53,TD!$B$54:$F$58,3,0)," ")</f>
        <v>4503</v>
      </c>
      <c r="W53" s="208">
        <f>IFERROR(VLOOKUP(N53,TD!$B$54:$F$58,4,0)," ")</f>
        <v>20240255</v>
      </c>
      <c r="X53" s="198" t="s">
        <v>180</v>
      </c>
      <c r="Y53" s="194" t="str">
        <f>IFERROR(VLOOKUP(X53,TD!$J$55:$K$68,2,0)," ")</f>
        <v>Servicio de apoyo   logístico  en eventos operativos y/o emergencias.</v>
      </c>
      <c r="Z53" s="216" t="str">
        <f>CONCATENATE(X53,"-",Y53)</f>
        <v>12-Servicio de apoyo   logístico  en eventos operativos y/o emergencias.</v>
      </c>
      <c r="AA53" s="198" t="s">
        <v>221</v>
      </c>
      <c r="AB53" s="194" t="str">
        <f>IFERROR(VLOOKUP(AA53,TD!$N$55:$O$70,2,0)," ")</f>
        <v>Servicio de atención a emergencias y desastres</v>
      </c>
      <c r="AC53" s="216" t="str">
        <f>CONCATENATE(AA53,"_",AB53)</f>
        <v>004_Servicio de atención a emergencias y desastres</v>
      </c>
      <c r="AD53" s="216" t="str">
        <f>CONCATENATE(Z53," ",AC53)</f>
        <v>12-Servicio de apoyo   logístico  en eventos operativos y/o emergencias. 004_Servicio de atención a emergencias y desastres</v>
      </c>
      <c r="AE53" s="208" t="str">
        <f>CONCATENATE(U53,V53,W53,X53,AA53)</f>
        <v>O23011745032024025512004</v>
      </c>
      <c r="AF53" s="194" t="str">
        <f>IFERROR(VLOOKUP(AD53,TD!$J$70:$K$93,2,0)," ")</f>
        <v>PM/0131/0112/45030040255</v>
      </c>
      <c r="AG53" s="199" t="s">
        <v>385</v>
      </c>
      <c r="AH53" s="206" t="s">
        <v>193</v>
      </c>
      <c r="AI53" s="227" t="str">
        <f>CONCATENATE(PAA[[#This Row],[Id Interno]],"-",PAA[[#This Row],[tipo de Contrato (TH talento humano - B/S bienes y/o servicios)]],"-",S53,"-",T53,"-",PAA[[#This Row],[Objeto de la contratación]])</f>
        <v>20261098-TH-8173-4--Prestación de servicios profesionales para apoyar la gestión administrativa, financiera y documental requerida en el desarrollo de los temas estratégicos y de planeación de los procesos y procedimientos a cargo de la Subdirección Logística – SBLG.</v>
      </c>
    </row>
    <row r="54" spans="2:35" ht="70" x14ac:dyDescent="0.35">
      <c r="B54" s="197">
        <v>20261099</v>
      </c>
      <c r="C54" s="197" t="s">
        <v>1355</v>
      </c>
      <c r="D54" s="200" t="s">
        <v>105</v>
      </c>
      <c r="E54" s="200" t="s">
        <v>363</v>
      </c>
      <c r="F54" s="200" t="s">
        <v>144</v>
      </c>
      <c r="G54" s="201" t="s">
        <v>382</v>
      </c>
      <c r="H54" s="202">
        <v>2</v>
      </c>
      <c r="I54" s="202">
        <v>15</v>
      </c>
      <c r="J54" s="203">
        <v>15000000</v>
      </c>
      <c r="K54" s="204" t="s">
        <v>398</v>
      </c>
      <c r="L54" s="205" t="s">
        <v>157</v>
      </c>
      <c r="M54" s="206" t="s">
        <v>483</v>
      </c>
      <c r="N54" s="200" t="s">
        <v>198</v>
      </c>
      <c r="O54" s="206" t="s">
        <v>887</v>
      </c>
      <c r="P54" s="206" t="s">
        <v>348</v>
      </c>
      <c r="Q54" s="207">
        <v>80111600</v>
      </c>
      <c r="R54" s="206" t="s">
        <v>213</v>
      </c>
      <c r="S54" s="225" t="str">
        <f>MID(PAA[[#This Row],[Meta Proyecto de Inversión]],1,4)</f>
        <v>8173</v>
      </c>
      <c r="T54" s="225" t="str">
        <f>MID(PAA[[#This Row],[Meta Proyecto de Inversión]],6,2)</f>
        <v>4-</v>
      </c>
      <c r="U54" s="208" t="str">
        <f>IFERROR(VLOOKUP(N54,TD!$B$54:$F$58,2,0)," ")</f>
        <v>O230117</v>
      </c>
      <c r="V54" s="208" t="str">
        <f>IFERROR(VLOOKUP(N54,TD!$B$54:$F$58,3,0)," ")</f>
        <v>4503</v>
      </c>
      <c r="W54" s="208">
        <f>IFERROR(VLOOKUP(N54,TD!$B$54:$F$58,4,0)," ")</f>
        <v>20240255</v>
      </c>
      <c r="X54" s="198" t="s">
        <v>180</v>
      </c>
      <c r="Y54" s="194" t="str">
        <f>IFERROR(VLOOKUP(X54,TD!$J$55:$K$68,2,0)," ")</f>
        <v>Servicio de apoyo   logístico  en eventos operativos y/o emergencias.</v>
      </c>
      <c r="Z54" s="216" t="str">
        <f>CONCATENATE(X54,"-",Y54)</f>
        <v>12-Servicio de apoyo   logístico  en eventos operativos y/o emergencias.</v>
      </c>
      <c r="AA54" s="198" t="s">
        <v>221</v>
      </c>
      <c r="AB54" s="194" t="str">
        <f>IFERROR(VLOOKUP(AA54,TD!$N$55:$O$70,2,0)," ")</f>
        <v>Servicio de atención a emergencias y desastres</v>
      </c>
      <c r="AC54" s="216" t="str">
        <f>CONCATENATE(AA54,"_",AB54)</f>
        <v>004_Servicio de atención a emergencias y desastres</v>
      </c>
      <c r="AD54" s="216" t="str">
        <f>CONCATENATE(Z54," ",AC54)</f>
        <v>12-Servicio de apoyo   logístico  en eventos operativos y/o emergencias. 004_Servicio de atención a emergencias y desastres</v>
      </c>
      <c r="AE54" s="208" t="str">
        <f>CONCATENATE(U54,V54,W54,X54,AA54)</f>
        <v>O23011745032024025512004</v>
      </c>
      <c r="AF54" s="194" t="str">
        <f>IFERROR(VLOOKUP(AD54,TD!$J$70:$K$93,2,0)," ")</f>
        <v>PM/0131/0112/45030040255</v>
      </c>
      <c r="AG54" s="199" t="s">
        <v>385</v>
      </c>
      <c r="AH54" s="206" t="s">
        <v>193</v>
      </c>
      <c r="AI54" s="227" t="str">
        <f>CONCATENATE(PAA[[#This Row],[Id Interno]],"-",PAA[[#This Row],[tipo de Contrato (TH talento humano - B/S bienes y/o servicios)]],"-",S54,"-",T54,"-",PAA[[#This Row],[Objeto de la contratación]])</f>
        <v>20261099-TH-8173-4--Prestación de servicios profesionales para apoyar la gestión administrativa, documental y de trámites relacionados con el parque automotor a cargo de la Subdirección Logística – SBLG, requeridos para su adecuado funcionamiento, operación y gestión.</v>
      </c>
    </row>
    <row r="55" spans="2:35" ht="56" x14ac:dyDescent="0.35">
      <c r="B55" s="197">
        <v>20261100</v>
      </c>
      <c r="C55" s="197" t="s">
        <v>1356</v>
      </c>
      <c r="D55" s="200" t="s">
        <v>105</v>
      </c>
      <c r="E55" s="200" t="s">
        <v>363</v>
      </c>
      <c r="F55" s="200" t="s">
        <v>144</v>
      </c>
      <c r="G55" s="201" t="s">
        <v>382</v>
      </c>
      <c r="H55" s="202">
        <v>3</v>
      </c>
      <c r="I55" s="202">
        <v>0</v>
      </c>
      <c r="J55" s="203">
        <v>24000000</v>
      </c>
      <c r="K55" s="204" t="s">
        <v>398</v>
      </c>
      <c r="L55" s="205" t="s">
        <v>157</v>
      </c>
      <c r="M55" s="206" t="s">
        <v>483</v>
      </c>
      <c r="N55" s="200" t="s">
        <v>198</v>
      </c>
      <c r="O55" s="206" t="s">
        <v>887</v>
      </c>
      <c r="P55" s="206" t="s">
        <v>348</v>
      </c>
      <c r="Q55" s="207">
        <v>80111600</v>
      </c>
      <c r="R55" s="206" t="s">
        <v>213</v>
      </c>
      <c r="S55" s="225" t="str">
        <f>MID(PAA[[#This Row],[Meta Proyecto de Inversión]],1,4)</f>
        <v>8173</v>
      </c>
      <c r="T55" s="225" t="str">
        <f>MID(PAA[[#This Row],[Meta Proyecto de Inversión]],6,2)</f>
        <v>4-</v>
      </c>
      <c r="U55" s="208" t="str">
        <f>IFERROR(VLOOKUP(N55,TD!$B$54:$F$58,2,0)," ")</f>
        <v>O230117</v>
      </c>
      <c r="V55" s="208" t="str">
        <f>IFERROR(VLOOKUP(N55,TD!$B$54:$F$58,3,0)," ")</f>
        <v>4503</v>
      </c>
      <c r="W55" s="208">
        <f>IFERROR(VLOOKUP(N55,TD!$B$54:$F$58,4,0)," ")</f>
        <v>20240255</v>
      </c>
      <c r="X55" s="198" t="s">
        <v>180</v>
      </c>
      <c r="Y55" s="194" t="str">
        <f>IFERROR(VLOOKUP(X55,TD!$J$55:$K$68,2,0)," ")</f>
        <v>Servicio de apoyo   logístico  en eventos operativos y/o emergencias.</v>
      </c>
      <c r="Z55" s="216" t="str">
        <f>CONCATENATE(X55,"-",Y55)</f>
        <v>12-Servicio de apoyo   logístico  en eventos operativos y/o emergencias.</v>
      </c>
      <c r="AA55" s="198" t="s">
        <v>221</v>
      </c>
      <c r="AB55" s="194" t="str">
        <f>IFERROR(VLOOKUP(AA55,TD!$N$55:$O$70,2,0)," ")</f>
        <v>Servicio de atención a emergencias y desastres</v>
      </c>
      <c r="AC55" s="216" t="str">
        <f>CONCATENATE(AA55,"_",AB55)</f>
        <v>004_Servicio de atención a emergencias y desastres</v>
      </c>
      <c r="AD55" s="216" t="str">
        <f>CONCATENATE(Z55," ",AC55)</f>
        <v>12-Servicio de apoyo   logístico  en eventos operativos y/o emergencias. 004_Servicio de atención a emergencias y desastres</v>
      </c>
      <c r="AE55" s="208" t="str">
        <f>CONCATENATE(U55,V55,W55,X55,AA55)</f>
        <v>O23011745032024025512004</v>
      </c>
      <c r="AF55" s="194" t="str">
        <f>IFERROR(VLOOKUP(AD55,TD!$J$70:$K$93,2,0)," ")</f>
        <v>PM/0131/0112/45030040255</v>
      </c>
      <c r="AG55" s="199" t="s">
        <v>385</v>
      </c>
      <c r="AH55" s="206" t="s">
        <v>193</v>
      </c>
      <c r="AI55" s="227" t="str">
        <f>CONCATENATE(PAA[[#This Row],[Id Interno]],"-",PAA[[#This Row],[tipo de Contrato (TH talento humano - B/S bienes y/o servicios)]],"-",S55,"-",T55,"-",PAA[[#This Row],[Objeto de la contratación]])</f>
        <v>20261100-TH-8173-4--Prestación de servicios profesionales para realizar la revisión, análisis y trámite jurídico de las diferentes actuaciones contractuales y procesales que se adelanten en las distintas etapas de los procesos de contratación de bienes y servicios, en el marco del desarrollo de las estrategias y necesidades de la Subdirección Logística – SBLG.</v>
      </c>
    </row>
    <row r="56" spans="2:35" ht="56" x14ac:dyDescent="0.35">
      <c r="B56" s="197">
        <v>20261101</v>
      </c>
      <c r="C56" s="197" t="s">
        <v>530</v>
      </c>
      <c r="D56" s="200" t="s">
        <v>105</v>
      </c>
      <c r="E56" s="200" t="s">
        <v>363</v>
      </c>
      <c r="F56" s="200" t="s">
        <v>144</v>
      </c>
      <c r="G56" s="201" t="s">
        <v>382</v>
      </c>
      <c r="H56" s="202">
        <v>3</v>
      </c>
      <c r="I56" s="202">
        <v>0</v>
      </c>
      <c r="J56" s="203">
        <v>27300000</v>
      </c>
      <c r="K56" s="204" t="s">
        <v>398</v>
      </c>
      <c r="L56" s="205" t="s">
        <v>156</v>
      </c>
      <c r="M56" s="206" t="s">
        <v>484</v>
      </c>
      <c r="N56" s="200" t="s">
        <v>198</v>
      </c>
      <c r="O56" s="206" t="s">
        <v>887</v>
      </c>
      <c r="P56" s="206" t="s">
        <v>348</v>
      </c>
      <c r="Q56" s="207">
        <v>80111600</v>
      </c>
      <c r="R56" s="206" t="s">
        <v>214</v>
      </c>
      <c r="S56" s="206" t="str">
        <f>MID(PAA[[#This Row],[Meta Proyecto de Inversión]],1,4)</f>
        <v>8173</v>
      </c>
      <c r="T56" s="206" t="str">
        <f>MID(PAA[[#This Row],[Meta Proyecto de Inversión]],6,2)</f>
        <v>5-</v>
      </c>
      <c r="U56" s="208" t="str">
        <f>IFERROR(VLOOKUP(N56,TD!$B$54:$F$58,2,0)," ")</f>
        <v>O230117</v>
      </c>
      <c r="V56" s="208" t="str">
        <f>IFERROR(VLOOKUP(N56,TD!$B$54:$F$58,3,0)," ")</f>
        <v>4503</v>
      </c>
      <c r="W56" s="208">
        <f>IFERROR(VLOOKUP(N56,TD!$B$54:$F$58,4,0)," ")</f>
        <v>20240255</v>
      </c>
      <c r="X56" s="206">
        <v>16</v>
      </c>
      <c r="Y56" s="194" t="str">
        <f>IFERROR(VLOOKUP(X56,TD!$J$55:$K$68,2,0)," ")</f>
        <v>Servicio de monitoreo y seguimiento para la gestión del riesgo</v>
      </c>
      <c r="Z56" s="226" t="str">
        <f>CONCATENATE(X56,"-",Y56)</f>
        <v>16-Servicio de monitoreo y seguimiento para la gestión del riesgo</v>
      </c>
      <c r="AA56" s="206" t="s">
        <v>224</v>
      </c>
      <c r="AB56" s="194" t="str">
        <f>IFERROR(VLOOKUP(AA56,TD!$N$55:$O$70,2,0)," ")</f>
        <v>Servicio de monitoreo y seguimiento para la gestión del riesgo</v>
      </c>
      <c r="AC56" s="226" t="str">
        <f>CONCATENATE(AA56,"_",AB56)</f>
        <v>018_Servicio de monitoreo y seguimiento para la gestión del riesgo</v>
      </c>
      <c r="AD56" s="226" t="str">
        <f>CONCATENATE(Z56," ",AC56)</f>
        <v>16-Servicio de monitoreo y seguimiento para la gestión del riesgo 018_Servicio de monitoreo y seguimiento para la gestión del riesgo</v>
      </c>
      <c r="AE56" s="208" t="str">
        <f>CONCATENATE(U56,V56,W56,X56,AA56)</f>
        <v>O23011745032024025516018</v>
      </c>
      <c r="AF56" s="194" t="str">
        <f>IFERROR(VLOOKUP(AD56,TD!$J$70:$K$93,2,0)," ")</f>
        <v>PM/0131/0116/45030180255</v>
      </c>
      <c r="AG56" s="199" t="s">
        <v>385</v>
      </c>
      <c r="AH56" s="206" t="s">
        <v>193</v>
      </c>
      <c r="AI56" s="227" t="str">
        <f>CONCATENATE(PAA[[#This Row],[Id Interno]],"-",PAA[[#This Row],[tipo de Contrato (TH talento humano - B/S bienes y/o servicios)]],"-",S56,"-",T56,"-",PAA[[#This Row],[Objeto de la contratación]])</f>
        <v>20261101-TH-8173-5--Prestar  servicios profesionales  liderando las actividades de proyeccion e innovacion para la Subdirección de Gestión del Riesgo._SGR</v>
      </c>
    </row>
    <row r="57" spans="2:35" ht="84" x14ac:dyDescent="0.35">
      <c r="B57" s="197">
        <v>20261102</v>
      </c>
      <c r="C57" s="197" t="s">
        <v>638</v>
      </c>
      <c r="D57" s="200" t="s">
        <v>105</v>
      </c>
      <c r="E57" s="200" t="s">
        <v>363</v>
      </c>
      <c r="F57" s="200" t="s">
        <v>145</v>
      </c>
      <c r="G57" s="201" t="s">
        <v>383</v>
      </c>
      <c r="H57" s="202">
        <v>3</v>
      </c>
      <c r="I57" s="202">
        <v>0</v>
      </c>
      <c r="J57" s="203">
        <v>9852984</v>
      </c>
      <c r="K57" s="204" t="s">
        <v>398</v>
      </c>
      <c r="L57" s="205" t="s">
        <v>155</v>
      </c>
      <c r="M57" s="206" t="s">
        <v>422</v>
      </c>
      <c r="N57" s="200" t="s">
        <v>197</v>
      </c>
      <c r="O57" s="206" t="s">
        <v>886</v>
      </c>
      <c r="P57" s="206" t="s">
        <v>348</v>
      </c>
      <c r="Q57" s="207" t="s">
        <v>725</v>
      </c>
      <c r="R57" s="206" t="s">
        <v>208</v>
      </c>
      <c r="S57" s="225" t="str">
        <f>MID(PAA[[#This Row],[Meta Proyecto de Inversión]],1,4)</f>
        <v>8126</v>
      </c>
      <c r="T57" s="225" t="str">
        <f>MID(PAA[[#This Row],[Meta Proyecto de Inversión]],6,2)</f>
        <v>9-</v>
      </c>
      <c r="U57" s="208" t="str">
        <f>IFERROR(VLOOKUP(N57,TD!$B$54:$F$58,2,0)," ")</f>
        <v>O230117</v>
      </c>
      <c r="V57" s="208" t="str">
        <f>IFERROR(VLOOKUP(N57,TD!$B$54:$F$58,3,0)," ")</f>
        <v>4599</v>
      </c>
      <c r="W57" s="208">
        <f>IFERROR(VLOOKUP(N57,TD!$B$54:$F$58,4,0)," ")</f>
        <v>20240207</v>
      </c>
      <c r="X57" s="206" t="s">
        <v>174</v>
      </c>
      <c r="Y57" s="194" t="str">
        <f>IFERROR(VLOOKUP(X57,TD!$J$55:$K$68,2,0)," ")</f>
        <v>Infraestructura física, mantenimiento y dotación (Sedes construidas, mantenidas reforzadas)</v>
      </c>
      <c r="Z57" s="216" t="str">
        <f>CONCATENATE(X57,"-",Y57)</f>
        <v>08-Infraestructura física, mantenimiento y dotación (Sedes construidas, mantenidas reforzadas)</v>
      </c>
      <c r="AA57" s="206" t="s">
        <v>227</v>
      </c>
      <c r="AB57" s="194" t="str">
        <f>IFERROR(VLOOKUP(AA57,TD!$N$55:$O$70,2,0)," ")</f>
        <v>Sedes mantenidas</v>
      </c>
      <c r="AC57" s="216" t="str">
        <f>CONCATENATE(AA57,"_",AB57)</f>
        <v>016_Sedes mantenidas</v>
      </c>
      <c r="AD57" s="216" t="str">
        <f>CONCATENATE(Z57," ",AC57)</f>
        <v>08-Infraestructura física, mantenimiento y dotación (Sedes construidas, mantenidas reforzadas) 016_Sedes mantenidas</v>
      </c>
      <c r="AE57" s="208" t="str">
        <f>CONCATENATE(U57,V57,W57,X57,AA57)</f>
        <v>O23011745992024020708016</v>
      </c>
      <c r="AF57" s="194" t="str">
        <f>IFERROR(VLOOKUP(AD57,TD!$J$70:$K$93,2,0)," ")</f>
        <v>PM/0131/0108/45990160207</v>
      </c>
      <c r="AG57" s="199" t="s">
        <v>385</v>
      </c>
      <c r="AH57" s="206" t="s">
        <v>193</v>
      </c>
      <c r="AI57" s="227" t="str">
        <f>CONCATENATE(PAA[[#This Row],[Id Interno]],"-",PAA[[#This Row],[tipo de Contrato (TH talento humano - B/S bienes y/o servicios)]],"-",S57,"-",T57,"-",PAA[[#This Row],[Objeto de la contratación]])</f>
        <v>20261102-TH-8126-9--Prestación de servicios de apoyo a la gestión en la ejecución de los planes y programas de servicio al ciudadano a cargo de la Subdirección de Gestión Corporativa.-SGC</v>
      </c>
    </row>
    <row r="58" spans="2:35" ht="42" x14ac:dyDescent="0.35">
      <c r="B58" s="197">
        <v>20261103</v>
      </c>
      <c r="C58" s="197" t="s">
        <v>1359</v>
      </c>
      <c r="D58" s="200" t="s">
        <v>105</v>
      </c>
      <c r="E58" s="200" t="s">
        <v>363</v>
      </c>
      <c r="F58" s="200" t="s">
        <v>144</v>
      </c>
      <c r="G58" s="201" t="s">
        <v>383</v>
      </c>
      <c r="H58" s="202">
        <v>1</v>
      </c>
      <c r="I58" s="202">
        <v>4</v>
      </c>
      <c r="J58" s="203">
        <v>9066667</v>
      </c>
      <c r="K58" s="204" t="s">
        <v>398</v>
      </c>
      <c r="L58" s="205" t="s">
        <v>155</v>
      </c>
      <c r="M58" s="206" t="s">
        <v>422</v>
      </c>
      <c r="N58" s="200" t="s">
        <v>197</v>
      </c>
      <c r="O58" s="206" t="s">
        <v>886</v>
      </c>
      <c r="P58" s="206" t="s">
        <v>348</v>
      </c>
      <c r="Q58" s="207" t="s">
        <v>725</v>
      </c>
      <c r="R58" s="206" t="s">
        <v>207</v>
      </c>
      <c r="S58" s="225" t="str">
        <f>MID(PAA[[#This Row],[Meta Proyecto de Inversión]],1,4)</f>
        <v>8126</v>
      </c>
      <c r="T58" s="225" t="str">
        <f>MID(PAA[[#This Row],[Meta Proyecto de Inversión]],6,2)</f>
        <v>8-</v>
      </c>
      <c r="U58" s="208" t="str">
        <f>IFERROR(VLOOKUP(N58,TD!$B$54:$F$58,2,0)," ")</f>
        <v>O230117</v>
      </c>
      <c r="V58" s="208" t="str">
        <f>IFERROR(VLOOKUP(N58,TD!$B$54:$F$58,3,0)," ")</f>
        <v>4599</v>
      </c>
      <c r="W58" s="208">
        <f>IFERROR(VLOOKUP(N58,TD!$B$54:$F$58,4,0)," ")</f>
        <v>20240207</v>
      </c>
      <c r="X58" s="206" t="s">
        <v>174</v>
      </c>
      <c r="Y58" s="194" t="str">
        <f>IFERROR(VLOOKUP(X58,TD!$J$55:$K$68,2,0)," ")</f>
        <v>Infraestructura física, mantenimiento y dotación (Sedes construidas, mantenidas reforzadas)</v>
      </c>
      <c r="Z58" s="216" t="str">
        <f>CONCATENATE(X58,"-",Y58)</f>
        <v>08-Infraestructura física, mantenimiento y dotación (Sedes construidas, mantenidas reforzadas)</v>
      </c>
      <c r="AA58" s="206" t="s">
        <v>227</v>
      </c>
      <c r="AB58" s="194" t="str">
        <f>IFERROR(VLOOKUP(AA58,TD!$N$55:$O$70,2,0)," ")</f>
        <v>Sedes mantenidas</v>
      </c>
      <c r="AC58" s="216" t="str">
        <f>CONCATENATE(AA58,"_",AB58)</f>
        <v>016_Sedes mantenidas</v>
      </c>
      <c r="AD58" s="216" t="str">
        <f>CONCATENATE(Z58," ",AC58)</f>
        <v>08-Infraestructura física, mantenimiento y dotación (Sedes construidas, mantenidas reforzadas) 016_Sedes mantenidas</v>
      </c>
      <c r="AE58" s="208" t="str">
        <f>CONCATENATE(U58,V58,W58,X58,AA58)</f>
        <v>O23011745992024020708016</v>
      </c>
      <c r="AF58" s="194" t="str">
        <f>IFERROR(VLOOKUP(AD58,TD!$J$70:$K$93,2,0)," ")</f>
        <v>PM/0131/0108/45990160207</v>
      </c>
      <c r="AG58" s="199" t="s">
        <v>385</v>
      </c>
      <c r="AH58" s="206" t="s">
        <v>194</v>
      </c>
      <c r="AI58" s="227" t="str">
        <f>CONCATENATE(PAA[[#This Row],[Id Interno]],"-",PAA[[#This Row],[tipo de Contrato (TH talento humano - B/S bienes y/o servicios)]],"-",S58,"-",T58,"-",PAA[[#This Row],[Objeto de la contratación]])</f>
        <v xml:space="preserve">20261103-TH-8126-8--Adición y prórroga No. 1 al contrato 423 de 2026 con objeto" Prestación de servicios profesionales especializados para desarrollar las actividades técnicas y administrativas del Área de Infraestructura de la Subdirección de Gestión Corporativa-SGC. </v>
      </c>
    </row>
    <row r="59" spans="2:35" ht="42" x14ac:dyDescent="0.35">
      <c r="B59" s="197">
        <v>20261104</v>
      </c>
      <c r="C59" s="197" t="s">
        <v>1360</v>
      </c>
      <c r="D59" s="200" t="s">
        <v>105</v>
      </c>
      <c r="E59" s="200" t="s">
        <v>363</v>
      </c>
      <c r="F59" s="200" t="s">
        <v>144</v>
      </c>
      <c r="G59" s="201" t="s">
        <v>383</v>
      </c>
      <c r="H59" s="202">
        <v>3</v>
      </c>
      <c r="I59" s="202">
        <v>0</v>
      </c>
      <c r="J59" s="203">
        <v>22500000</v>
      </c>
      <c r="K59" s="204" t="s">
        <v>398</v>
      </c>
      <c r="L59" s="205" t="s">
        <v>155</v>
      </c>
      <c r="M59" s="206" t="s">
        <v>422</v>
      </c>
      <c r="N59" s="200" t="s">
        <v>198</v>
      </c>
      <c r="O59" s="206" t="s">
        <v>887</v>
      </c>
      <c r="P59" s="206" t="s">
        <v>348</v>
      </c>
      <c r="Q59" s="207" t="s">
        <v>725</v>
      </c>
      <c r="R59" s="206" t="s">
        <v>351</v>
      </c>
      <c r="S59" s="225" t="str">
        <f>MID(PAA[[#This Row],[Meta Proyecto de Inversión]],1,4)</f>
        <v>8173</v>
      </c>
      <c r="T59" s="225" t="str">
        <f>MID(PAA[[#This Row],[Meta Proyecto de Inversión]],6,2)</f>
        <v>11</v>
      </c>
      <c r="U59" s="208" t="str">
        <f>IFERROR(VLOOKUP(N59,TD!$B$54:$F$58,2,0)," ")</f>
        <v>O230117</v>
      </c>
      <c r="V59" s="208" t="str">
        <f>IFERROR(VLOOKUP(N59,TD!$B$54:$F$58,3,0)," ")</f>
        <v>4503</v>
      </c>
      <c r="W59" s="208">
        <f>IFERROR(VLOOKUP(N59,TD!$B$54:$F$58,4,0)," ")</f>
        <v>20240255</v>
      </c>
      <c r="X59" s="206">
        <v>14</v>
      </c>
      <c r="Y59" s="194" t="str">
        <f>IFERROR(VLOOKUP(X59,TD!$J$55:$K$68,2,0)," ")</f>
        <v xml:space="preserve">Infraestructura física misional construida mantenida y dotada </v>
      </c>
      <c r="Z59" s="216" t="str">
        <f>CONCATENATE(X59,"-",Y59)</f>
        <v xml:space="preserve">14-Infraestructura física misional construida mantenida y dotada </v>
      </c>
      <c r="AA59" s="206" t="s">
        <v>225</v>
      </c>
      <c r="AB59" s="194" t="str">
        <f>IFERROR(VLOOKUP(AA59,TD!$N$55:$O$70,2,0)," ")</f>
        <v>Estaciones de bomberos adecuadas</v>
      </c>
      <c r="AC59" s="216" t="str">
        <f>CONCATENATE(AA59,"_",AB59)</f>
        <v>014_Estaciones de bomberos adecuadas</v>
      </c>
      <c r="AD59" s="216" t="str">
        <f>CONCATENATE(Z59," ",AC59)</f>
        <v>14-Infraestructura física misional construida mantenida y dotada  014_Estaciones de bomberos adecuadas</v>
      </c>
      <c r="AE59" s="208" t="str">
        <f>CONCATENATE(U59,V59,W59,X59,AA59)</f>
        <v>O23011745032024025514014</v>
      </c>
      <c r="AF59" s="194" t="str">
        <f>IFERROR(VLOOKUP(AD59,TD!$J$70:$K$93,2,0)," ")</f>
        <v>PM/0131/0114/45030140255</v>
      </c>
      <c r="AG59" s="199" t="s">
        <v>385</v>
      </c>
      <c r="AH59" s="206" t="s">
        <v>193</v>
      </c>
      <c r="AI59" s="227" t="str">
        <f>CONCATENATE(PAA[[#This Row],[Id Interno]],"-",PAA[[#This Row],[tipo de Contrato (TH talento humano - B/S bienes y/o servicios)]],"-",S59,"-",T59,"-",PAA[[#This Row],[Objeto de la contratación]])</f>
        <v>20261104-TH-8173-11-Prestar servicios profesionales para apoyar el desarrollo, la construcción, revisión y gestión de los documentos previos requerido en los procesos de selección adelantados por la UAECOB, garantizando la adecuada estructuración financiera, de mercado y económica, necesarios para la contratación para la adquisición de bienes, obras y servicios esenciales para el cumplimiento de sus funciones y misionalidad-SGC</v>
      </c>
    </row>
    <row r="60" spans="2:35" ht="56" x14ac:dyDescent="0.35">
      <c r="B60" s="197">
        <v>20261105</v>
      </c>
      <c r="C60" s="197" t="s">
        <v>638</v>
      </c>
      <c r="D60" s="200" t="s">
        <v>105</v>
      </c>
      <c r="E60" s="200" t="s">
        <v>363</v>
      </c>
      <c r="F60" s="200" t="s">
        <v>145</v>
      </c>
      <c r="G60" s="201" t="s">
        <v>382</v>
      </c>
      <c r="H60" s="202">
        <v>3</v>
      </c>
      <c r="I60" s="202">
        <v>0</v>
      </c>
      <c r="J60" s="203">
        <v>9852984</v>
      </c>
      <c r="K60" s="204" t="s">
        <v>398</v>
      </c>
      <c r="L60" s="205" t="s">
        <v>155</v>
      </c>
      <c r="M60" s="206" t="s">
        <v>422</v>
      </c>
      <c r="N60" s="200" t="s">
        <v>197</v>
      </c>
      <c r="O60" s="206" t="s">
        <v>886</v>
      </c>
      <c r="P60" s="206" t="s">
        <v>348</v>
      </c>
      <c r="Q60" s="207" t="s">
        <v>725</v>
      </c>
      <c r="R60" s="206" t="s">
        <v>208</v>
      </c>
      <c r="S60" s="225" t="str">
        <f>MID(PAA[[#This Row],[Meta Proyecto de Inversión]],1,4)</f>
        <v>8126</v>
      </c>
      <c r="T60" s="225" t="str">
        <f>MID(PAA[[#This Row],[Meta Proyecto de Inversión]],6,2)</f>
        <v>9-</v>
      </c>
      <c r="U60" s="208" t="str">
        <f>IFERROR(VLOOKUP(N60,TD!$B$54:$F$58,2,0)," ")</f>
        <v>O230117</v>
      </c>
      <c r="V60" s="208" t="str">
        <f>IFERROR(VLOOKUP(N60,TD!$B$54:$F$58,3,0)," ")</f>
        <v>4599</v>
      </c>
      <c r="W60" s="208">
        <f>IFERROR(VLOOKUP(N60,TD!$B$54:$F$58,4,0)," ")</f>
        <v>20240207</v>
      </c>
      <c r="X60" s="206" t="s">
        <v>174</v>
      </c>
      <c r="Y60" s="194" t="str">
        <f>IFERROR(VLOOKUP(X60,TD!$J$55:$K$68,2,0)," ")</f>
        <v>Infraestructura física, mantenimiento y dotación (Sedes construidas, mantenidas reforzadas)</v>
      </c>
      <c r="Z60" s="216" t="str">
        <f>CONCATENATE(X60,"-",Y60)</f>
        <v>08-Infraestructura física, mantenimiento y dotación (Sedes construidas, mantenidas reforzadas)</v>
      </c>
      <c r="AA60" s="206" t="s">
        <v>227</v>
      </c>
      <c r="AB60" s="194" t="str">
        <f>IFERROR(VLOOKUP(AA60,TD!$N$55:$O$70,2,0)," ")</f>
        <v>Sedes mantenidas</v>
      </c>
      <c r="AC60" s="216" t="str">
        <f>CONCATENATE(AA60,"_",AB60)</f>
        <v>016_Sedes mantenidas</v>
      </c>
      <c r="AD60" s="216" t="str">
        <f>CONCATENATE(Z60," ",AC60)</f>
        <v>08-Infraestructura física, mantenimiento y dotación (Sedes construidas, mantenidas reforzadas) 016_Sedes mantenidas</v>
      </c>
      <c r="AE60" s="208" t="str">
        <f>CONCATENATE(U60,V60,W60,X60,AA60)</f>
        <v>O23011745992024020708016</v>
      </c>
      <c r="AF60" s="194" t="str">
        <f>IFERROR(VLOOKUP(AD60,TD!$J$70:$K$93,2,0)," ")</f>
        <v>PM/0131/0108/45990160207</v>
      </c>
      <c r="AG60" s="199" t="s">
        <v>385</v>
      </c>
      <c r="AH60" s="206" t="s">
        <v>193</v>
      </c>
      <c r="AI60" s="227" t="str">
        <f>CONCATENATE(PAA[[#This Row],[Id Interno]],"-",PAA[[#This Row],[tipo de Contrato (TH talento humano - B/S bienes y/o servicios)]],"-",S60,"-",T60,"-",PAA[[#This Row],[Objeto de la contratación]])</f>
        <v>20261105-TH-8126-9--Prestación de servicios de apoyo a la gestión en la ejecución de los planes y programas de servicio al ciudadano a cargo de la Subdirección de Gestión Corporativa.-SGC</v>
      </c>
    </row>
    <row r="61" spans="2:35" ht="98" x14ac:dyDescent="0.35">
      <c r="B61" s="23">
        <v>20260001</v>
      </c>
      <c r="C61" s="97" t="s">
        <v>550</v>
      </c>
      <c r="D61" s="23" t="s">
        <v>105</v>
      </c>
      <c r="E61" s="23" t="s">
        <v>363</v>
      </c>
      <c r="F61" s="163" t="s">
        <v>144</v>
      </c>
      <c r="G61" s="164" t="s">
        <v>373</v>
      </c>
      <c r="H61" s="165">
        <v>11</v>
      </c>
      <c r="I61" s="165">
        <v>0</v>
      </c>
      <c r="J61" s="122">
        <v>119999000</v>
      </c>
      <c r="K61" s="88" t="s">
        <v>398</v>
      </c>
      <c r="L61" s="163" t="s">
        <v>151</v>
      </c>
      <c r="M61" s="166" t="s">
        <v>401</v>
      </c>
      <c r="N61" s="23" t="s">
        <v>197</v>
      </c>
      <c r="O61" s="144" t="s">
        <v>886</v>
      </c>
      <c r="P61" s="163" t="s">
        <v>348</v>
      </c>
      <c r="Q61" s="53">
        <v>80111600</v>
      </c>
      <c r="R61" s="166" t="s">
        <v>204</v>
      </c>
      <c r="S61" s="166" t="str">
        <f>MID(PAA[[#This Row],[Meta Proyecto de Inversión]],1,4)</f>
        <v>8126</v>
      </c>
      <c r="T61" s="166" t="str">
        <f>MID(PAA[[#This Row],[Meta Proyecto de Inversión]],6,2)</f>
        <v>5-</v>
      </c>
      <c r="U61" s="167" t="str">
        <f>IFERROR(VLOOKUP(N61,TD!$B$54:$F$58,2,0)," ")</f>
        <v>O230117</v>
      </c>
      <c r="V61" s="167" t="str">
        <f>IFERROR(VLOOKUP(N61,TD!$B$54:$F$58,3,0)," ")</f>
        <v>4599</v>
      </c>
      <c r="W61" s="167">
        <f>IFERROR(VLOOKUP(N61,TD!$B$54:$F$58,4,0)," ")</f>
        <v>20240207</v>
      </c>
      <c r="X61" s="166" t="s">
        <v>168</v>
      </c>
      <c r="Y61" s="167" t="str">
        <f>IFERROR(VLOOKUP(X61,TD!$J$55:$K$68,2,0)," ")</f>
        <v>Infraestructura Tecnológica   (Sistemas de Información y Tecnologia)</v>
      </c>
      <c r="Z61" s="168" t="str">
        <f>CONCATENATE(X61,"-",Y61)</f>
        <v>11-Infraestructura Tecnológica   (Sistemas de Información y Tecnologia)</v>
      </c>
      <c r="AA61" s="166" t="s">
        <v>228</v>
      </c>
      <c r="AB61" s="167" t="str">
        <f>IFERROR(VLOOKUP(AA61,TD!$N$55:$O$70,2,0)," ")</f>
        <v>Servicios tecnológicos</v>
      </c>
      <c r="AC61" s="168" t="str">
        <f>CONCATENATE(AA61,"_",AB61)</f>
        <v>007_Servicios tecnológicos</v>
      </c>
      <c r="AD61" s="168" t="str">
        <f>CONCATENATE(Z61," ",AC61)</f>
        <v>11-Infraestructura Tecnológica   (Sistemas de Información y Tecnologia) 007_Servicios tecnológicos</v>
      </c>
      <c r="AE61" s="167" t="str">
        <f>CONCATENATE(U61,V61,W61,X61,AA61)</f>
        <v>O23011745992024020711007</v>
      </c>
      <c r="AF61" s="167" t="str">
        <f>IFERROR(VLOOKUP(AD61,TD!$J$70:$K$93,2,0)," ")</f>
        <v>PM/0131/0111/45990070207</v>
      </c>
      <c r="AG61" s="114" t="s">
        <v>385</v>
      </c>
      <c r="AH61" s="166" t="s">
        <v>193</v>
      </c>
      <c r="AI61" s="169" t="str">
        <f>CONCATENATE(PAA[[#This Row],[Id Interno]],"-",PAA[[#This Row],[tipo de Contrato (TH talento humano - B/S bienes y/o servicios)]],"-",S61,"-",T61,"-",PAA[[#This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62" spans="2:35" ht="42" x14ac:dyDescent="0.35">
      <c r="B62" s="23">
        <v>20260002</v>
      </c>
      <c r="C62" s="97" t="s">
        <v>551</v>
      </c>
      <c r="D62" s="23" t="s">
        <v>105</v>
      </c>
      <c r="E62" s="23" t="s">
        <v>363</v>
      </c>
      <c r="F62" s="163" t="s">
        <v>144</v>
      </c>
      <c r="G62" s="164" t="s">
        <v>373</v>
      </c>
      <c r="H62" s="165">
        <v>6</v>
      </c>
      <c r="I62" s="165">
        <v>0</v>
      </c>
      <c r="J62" s="122">
        <v>45000000</v>
      </c>
      <c r="K62" s="88" t="s">
        <v>398</v>
      </c>
      <c r="L62" s="163" t="s">
        <v>151</v>
      </c>
      <c r="M62" s="166" t="s">
        <v>401</v>
      </c>
      <c r="N62" s="23" t="s">
        <v>197</v>
      </c>
      <c r="O62" s="144" t="s">
        <v>886</v>
      </c>
      <c r="P62" s="163" t="s">
        <v>348</v>
      </c>
      <c r="Q62" s="53">
        <v>80111600</v>
      </c>
      <c r="R62" s="166" t="s">
        <v>204</v>
      </c>
      <c r="S62" s="166" t="str">
        <f>MID(PAA[[#This Row],[Meta Proyecto de Inversión]],1,4)</f>
        <v>8126</v>
      </c>
      <c r="T62" s="166" t="str">
        <f>MID(PAA[[#This Row],[Meta Proyecto de Inversión]],6,2)</f>
        <v>5-</v>
      </c>
      <c r="U62" s="167" t="str">
        <f>IFERROR(VLOOKUP(N62,TD!$B$54:$F$58,2,0)," ")</f>
        <v>O230117</v>
      </c>
      <c r="V62" s="167" t="str">
        <f>IFERROR(VLOOKUP(N62,TD!$B$54:$F$58,3,0)," ")</f>
        <v>4599</v>
      </c>
      <c r="W62" s="167">
        <f>IFERROR(VLOOKUP(N62,TD!$B$54:$F$58,4,0)," ")</f>
        <v>20240207</v>
      </c>
      <c r="X62" s="166" t="s">
        <v>168</v>
      </c>
      <c r="Y62" s="167" t="str">
        <f>IFERROR(VLOOKUP(X62,TD!$J$55:$K$68,2,0)," ")</f>
        <v>Infraestructura Tecnológica   (Sistemas de Información y Tecnologia)</v>
      </c>
      <c r="Z62" s="168" t="str">
        <f>CONCATENATE(X62,"-",Y62)</f>
        <v>11-Infraestructura Tecnológica   (Sistemas de Información y Tecnologia)</v>
      </c>
      <c r="AA62" s="166" t="s">
        <v>228</v>
      </c>
      <c r="AB62" s="167" t="str">
        <f>IFERROR(VLOOKUP(AA62,TD!$N$55:$O$70,2,0)," ")</f>
        <v>Servicios tecnológicos</v>
      </c>
      <c r="AC62" s="168" t="str">
        <f>CONCATENATE(AA62,"_",AB62)</f>
        <v>007_Servicios tecnológicos</v>
      </c>
      <c r="AD62" s="168" t="str">
        <f>CONCATENATE(Z62," ",AC62)</f>
        <v>11-Infraestructura Tecnológica   (Sistemas de Información y Tecnologia) 007_Servicios tecnológicos</v>
      </c>
      <c r="AE62" s="167" t="str">
        <f>CONCATENATE(U62,V62,W62,X62,AA62)</f>
        <v>O23011745992024020711007</v>
      </c>
      <c r="AF62" s="167" t="str">
        <f>IFERROR(VLOOKUP(AD62,TD!$J$70:$K$93,2,0)," ")</f>
        <v>PM/0131/0111/45990070207</v>
      </c>
      <c r="AG62" s="114" t="s">
        <v>385</v>
      </c>
      <c r="AH62" s="166" t="s">
        <v>193</v>
      </c>
      <c r="AI62" s="169" t="str">
        <f>CONCATENATE(PAA[[#This Row],[Id Interno]],"-",PAA[[#This Row],[tipo de Contrato (TH talento humano - B/S bienes y/o servicios)]],"-",S62,"-",T62,"-",PAA[[#This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63" spans="2:35" ht="70" x14ac:dyDescent="0.35">
      <c r="B63" s="23">
        <v>20260003</v>
      </c>
      <c r="C63" s="97" t="s">
        <v>552</v>
      </c>
      <c r="D63" s="23" t="s">
        <v>105</v>
      </c>
      <c r="E63" s="23" t="s">
        <v>363</v>
      </c>
      <c r="F63" s="163" t="s">
        <v>144</v>
      </c>
      <c r="G63" s="164" t="s">
        <v>373</v>
      </c>
      <c r="H63" s="165">
        <v>6</v>
      </c>
      <c r="I63" s="165">
        <v>0</v>
      </c>
      <c r="J63" s="122">
        <v>33000000</v>
      </c>
      <c r="K63" s="88" t="s">
        <v>398</v>
      </c>
      <c r="L63" s="163" t="s">
        <v>151</v>
      </c>
      <c r="M63" s="166" t="s">
        <v>401</v>
      </c>
      <c r="N63" s="23" t="s">
        <v>197</v>
      </c>
      <c r="O63" s="144" t="s">
        <v>886</v>
      </c>
      <c r="P63" s="163" t="s">
        <v>348</v>
      </c>
      <c r="Q63" s="53">
        <v>80111600</v>
      </c>
      <c r="R63" s="166" t="s">
        <v>203</v>
      </c>
      <c r="S63" s="166" t="str">
        <f>MID(PAA[[#This Row],[Meta Proyecto de Inversión]],1,4)</f>
        <v>8126</v>
      </c>
      <c r="T63" s="166" t="str">
        <f>MID(PAA[[#This Row],[Meta Proyecto de Inversión]],6,2)</f>
        <v>4-</v>
      </c>
      <c r="U63" s="167" t="str">
        <f>IFERROR(VLOOKUP(N63,TD!$B$54:$F$58,2,0)," ")</f>
        <v>O230117</v>
      </c>
      <c r="V63" s="167" t="str">
        <f>IFERROR(VLOOKUP(N63,TD!$B$54:$F$58,3,0)," ")</f>
        <v>4599</v>
      </c>
      <c r="W63" s="167">
        <f>IFERROR(VLOOKUP(N63,TD!$B$54:$F$58,4,0)," ")</f>
        <v>20240207</v>
      </c>
      <c r="X63" s="166" t="s">
        <v>168</v>
      </c>
      <c r="Y63" s="167" t="str">
        <f>IFERROR(VLOOKUP(X63,TD!$J$55:$K$68,2,0)," ")</f>
        <v>Infraestructura Tecnológica   (Sistemas de Información y Tecnologia)</v>
      </c>
      <c r="Z63" s="168" t="str">
        <f>CONCATENATE(X63,"-",Y63)</f>
        <v>11-Infraestructura Tecnológica   (Sistemas de Información y Tecnologia)</v>
      </c>
      <c r="AA63" s="166" t="s">
        <v>228</v>
      </c>
      <c r="AB63" s="167" t="str">
        <f>IFERROR(VLOOKUP(AA63,TD!$N$55:$O$70,2,0)," ")</f>
        <v>Servicios tecnológicos</v>
      </c>
      <c r="AC63" s="168" t="str">
        <f>CONCATENATE(AA63,"_",AB63)</f>
        <v>007_Servicios tecnológicos</v>
      </c>
      <c r="AD63" s="168" t="str">
        <f>CONCATENATE(Z63," ",AC63)</f>
        <v>11-Infraestructura Tecnológica   (Sistemas de Información y Tecnologia) 007_Servicios tecnológicos</v>
      </c>
      <c r="AE63" s="167" t="str">
        <f>CONCATENATE(U63,V63,W63,X63,AA63)</f>
        <v>O23011745992024020711007</v>
      </c>
      <c r="AF63" s="167" t="str">
        <f>IFERROR(VLOOKUP(AD63,TD!$J$70:$K$93,2,0)," ")</f>
        <v>PM/0131/0111/45990070207</v>
      </c>
      <c r="AG63" s="114" t="s">
        <v>385</v>
      </c>
      <c r="AH63" s="166" t="s">
        <v>193</v>
      </c>
      <c r="AI63" s="169" t="str">
        <f>CONCATENATE(PAA[[#This Row],[Id Interno]],"-",PAA[[#This Row],[tipo de Contrato (TH talento humano - B/S bienes y/o servicios)]],"-",S63,"-",T63,"-",PAA[[#This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64" spans="2:35" ht="84" x14ac:dyDescent="0.35">
      <c r="B64" s="23">
        <v>20260004</v>
      </c>
      <c r="C64" s="97" t="s">
        <v>553</v>
      </c>
      <c r="D64" s="23" t="s">
        <v>105</v>
      </c>
      <c r="E64" s="23" t="s">
        <v>363</v>
      </c>
      <c r="F64" s="163" t="s">
        <v>144</v>
      </c>
      <c r="G64" s="164" t="s">
        <v>373</v>
      </c>
      <c r="H64" s="165">
        <v>6</v>
      </c>
      <c r="I64" s="165">
        <v>0</v>
      </c>
      <c r="J64" s="122">
        <v>57000000</v>
      </c>
      <c r="K64" s="88" t="s">
        <v>398</v>
      </c>
      <c r="L64" s="163" t="s">
        <v>151</v>
      </c>
      <c r="M64" s="166" t="s">
        <v>401</v>
      </c>
      <c r="N64" s="23" t="s">
        <v>197</v>
      </c>
      <c r="O64" s="144" t="s">
        <v>886</v>
      </c>
      <c r="P64" s="163" t="s">
        <v>348</v>
      </c>
      <c r="Q64" s="53">
        <v>80111600</v>
      </c>
      <c r="R64" s="166" t="s">
        <v>203</v>
      </c>
      <c r="S64" s="166" t="str">
        <f>MID(PAA[[#This Row],[Meta Proyecto de Inversión]],1,4)</f>
        <v>8126</v>
      </c>
      <c r="T64" s="166" t="str">
        <f>MID(PAA[[#This Row],[Meta Proyecto de Inversión]],6,2)</f>
        <v>4-</v>
      </c>
      <c r="U64" s="167" t="str">
        <f>IFERROR(VLOOKUP(N64,TD!$B$54:$F$58,2,0)," ")</f>
        <v>O230117</v>
      </c>
      <c r="V64" s="167" t="str">
        <f>IFERROR(VLOOKUP(N64,TD!$B$54:$F$58,3,0)," ")</f>
        <v>4599</v>
      </c>
      <c r="W64" s="167">
        <f>IFERROR(VLOOKUP(N64,TD!$B$54:$F$58,4,0)," ")</f>
        <v>20240207</v>
      </c>
      <c r="X64" s="166" t="s">
        <v>168</v>
      </c>
      <c r="Y64" s="167" t="str">
        <f>IFERROR(VLOOKUP(X64,TD!$J$55:$K$68,2,0)," ")</f>
        <v>Infraestructura Tecnológica   (Sistemas de Información y Tecnologia)</v>
      </c>
      <c r="Z64" s="168" t="str">
        <f>CONCATENATE(X64,"-",Y64)</f>
        <v>11-Infraestructura Tecnológica   (Sistemas de Información y Tecnologia)</v>
      </c>
      <c r="AA64" s="166" t="s">
        <v>228</v>
      </c>
      <c r="AB64" s="167" t="str">
        <f>IFERROR(VLOOKUP(AA64,TD!$N$55:$O$70,2,0)," ")</f>
        <v>Servicios tecnológicos</v>
      </c>
      <c r="AC64" s="168" t="str">
        <f>CONCATENATE(AA64,"_",AB64)</f>
        <v>007_Servicios tecnológicos</v>
      </c>
      <c r="AD64" s="168" t="str">
        <f>CONCATENATE(Z64," ",AC64)</f>
        <v>11-Infraestructura Tecnológica   (Sistemas de Información y Tecnologia) 007_Servicios tecnológicos</v>
      </c>
      <c r="AE64" s="167" t="str">
        <f>CONCATENATE(U64,V64,W64,X64,AA64)</f>
        <v>O23011745992024020711007</v>
      </c>
      <c r="AF64" s="167" t="str">
        <f>IFERROR(VLOOKUP(AD64,TD!$J$70:$K$93,2,0)," ")</f>
        <v>PM/0131/0111/45990070207</v>
      </c>
      <c r="AG64" s="114" t="s">
        <v>385</v>
      </c>
      <c r="AH64" s="166" t="s">
        <v>193</v>
      </c>
      <c r="AI64" s="169" t="str">
        <f>CONCATENATE(PAA[[#This Row],[Id Interno]],"-",PAA[[#This Row],[tipo de Contrato (TH talento humano - B/S bienes y/o servicios)]],"-",S64,"-",T64,"-",PAA[[#This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65" spans="2:35" ht="84" x14ac:dyDescent="0.35">
      <c r="B65" s="23">
        <v>20260005</v>
      </c>
      <c r="C65" s="97" t="s">
        <v>554</v>
      </c>
      <c r="D65" s="23" t="s">
        <v>105</v>
      </c>
      <c r="E65" s="23" t="s">
        <v>363</v>
      </c>
      <c r="F65" s="163" t="s">
        <v>144</v>
      </c>
      <c r="G65" s="164" t="s">
        <v>373</v>
      </c>
      <c r="H65" s="165">
        <v>12</v>
      </c>
      <c r="I65" s="165">
        <v>0</v>
      </c>
      <c r="J65" s="122">
        <v>93600000</v>
      </c>
      <c r="K65" s="88" t="s">
        <v>398</v>
      </c>
      <c r="L65" s="163" t="s">
        <v>151</v>
      </c>
      <c r="M65" s="166" t="s">
        <v>401</v>
      </c>
      <c r="N65" s="23" t="s">
        <v>197</v>
      </c>
      <c r="O65" s="144" t="s">
        <v>886</v>
      </c>
      <c r="P65" s="163" t="s">
        <v>348</v>
      </c>
      <c r="Q65" s="53">
        <v>80111600</v>
      </c>
      <c r="R65" s="166" t="s">
        <v>204</v>
      </c>
      <c r="S65" s="166" t="str">
        <f>MID(PAA[[#This Row],[Meta Proyecto de Inversión]],1,4)</f>
        <v>8126</v>
      </c>
      <c r="T65" s="166" t="str">
        <f>MID(PAA[[#This Row],[Meta Proyecto de Inversión]],6,2)</f>
        <v>5-</v>
      </c>
      <c r="U65" s="167" t="str">
        <f>IFERROR(VLOOKUP(N65,TD!$B$54:$F$58,2,0)," ")</f>
        <v>O230117</v>
      </c>
      <c r="V65" s="167" t="str">
        <f>IFERROR(VLOOKUP(N65,TD!$B$54:$F$58,3,0)," ")</f>
        <v>4599</v>
      </c>
      <c r="W65" s="167">
        <f>IFERROR(VLOOKUP(N65,TD!$B$54:$F$58,4,0)," ")</f>
        <v>20240207</v>
      </c>
      <c r="X65" s="166" t="s">
        <v>168</v>
      </c>
      <c r="Y65" s="167" t="str">
        <f>IFERROR(VLOOKUP(X65,TD!$J$55:$K$68,2,0)," ")</f>
        <v>Infraestructura Tecnológica   (Sistemas de Información y Tecnologia)</v>
      </c>
      <c r="Z65" s="168" t="str">
        <f>CONCATENATE(X65,"-",Y65)</f>
        <v>11-Infraestructura Tecnológica   (Sistemas de Información y Tecnologia)</v>
      </c>
      <c r="AA65" s="166" t="s">
        <v>228</v>
      </c>
      <c r="AB65" s="167" t="str">
        <f>IFERROR(VLOOKUP(AA65,TD!$N$55:$O$70,2,0)," ")</f>
        <v>Servicios tecnológicos</v>
      </c>
      <c r="AC65" s="168" t="str">
        <f>CONCATENATE(AA65,"_",AB65)</f>
        <v>007_Servicios tecnológicos</v>
      </c>
      <c r="AD65" s="168" t="str">
        <f>CONCATENATE(Z65," ",AC65)</f>
        <v>11-Infraestructura Tecnológica   (Sistemas de Información y Tecnologia) 007_Servicios tecnológicos</v>
      </c>
      <c r="AE65" s="167" t="str">
        <f>CONCATENATE(U65,V65,W65,X65,AA65)</f>
        <v>O23011745992024020711007</v>
      </c>
      <c r="AF65" s="167" t="str">
        <f>IFERROR(VLOOKUP(AD65,TD!$J$70:$K$93,2,0)," ")</f>
        <v>PM/0131/0111/45990070207</v>
      </c>
      <c r="AG65" s="114" t="s">
        <v>385</v>
      </c>
      <c r="AH65" s="166" t="s">
        <v>193</v>
      </c>
      <c r="AI65" s="169" t="str">
        <f>CONCATENATE(PAA[[#This Row],[Id Interno]],"-",PAA[[#This Row],[tipo de Contrato (TH talento humano - B/S bienes y/o servicios)]],"-",S65,"-",T65,"-",PAA[[#This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66" spans="2:35" ht="70" x14ac:dyDescent="0.35">
      <c r="B66" s="23">
        <v>20260006</v>
      </c>
      <c r="C66" s="97" t="s">
        <v>555</v>
      </c>
      <c r="D66" s="23" t="s">
        <v>105</v>
      </c>
      <c r="E66" s="23" t="s">
        <v>363</v>
      </c>
      <c r="F66" s="163" t="s">
        <v>144</v>
      </c>
      <c r="G66" s="164" t="s">
        <v>373</v>
      </c>
      <c r="H66" s="165">
        <v>10</v>
      </c>
      <c r="I66" s="165">
        <v>0</v>
      </c>
      <c r="J66" s="122">
        <v>78000000</v>
      </c>
      <c r="K66" s="88" t="s">
        <v>398</v>
      </c>
      <c r="L66" s="163" t="s">
        <v>151</v>
      </c>
      <c r="M66" s="166" t="s">
        <v>401</v>
      </c>
      <c r="N66" s="23" t="s">
        <v>197</v>
      </c>
      <c r="O66" s="144" t="s">
        <v>886</v>
      </c>
      <c r="P66" s="163" t="s">
        <v>348</v>
      </c>
      <c r="Q66" s="53">
        <v>80111600</v>
      </c>
      <c r="R66" s="166" t="s">
        <v>204</v>
      </c>
      <c r="S66" s="166" t="str">
        <f>MID(PAA[[#This Row],[Meta Proyecto de Inversión]],1,4)</f>
        <v>8126</v>
      </c>
      <c r="T66" s="166" t="str">
        <f>MID(PAA[[#This Row],[Meta Proyecto de Inversión]],6,2)</f>
        <v>5-</v>
      </c>
      <c r="U66" s="167" t="str">
        <f>IFERROR(VLOOKUP(N66,TD!$B$54:$F$58,2,0)," ")</f>
        <v>O230117</v>
      </c>
      <c r="V66" s="167" t="str">
        <f>IFERROR(VLOOKUP(N66,TD!$B$54:$F$58,3,0)," ")</f>
        <v>4599</v>
      </c>
      <c r="W66" s="167">
        <f>IFERROR(VLOOKUP(N66,TD!$B$54:$F$58,4,0)," ")</f>
        <v>20240207</v>
      </c>
      <c r="X66" s="166" t="s">
        <v>168</v>
      </c>
      <c r="Y66" s="167" t="str">
        <f>IFERROR(VLOOKUP(X66,TD!$J$55:$K$68,2,0)," ")</f>
        <v>Infraestructura Tecnológica   (Sistemas de Información y Tecnologia)</v>
      </c>
      <c r="Z66" s="168" t="str">
        <f>CONCATENATE(X66,"-",Y66)</f>
        <v>11-Infraestructura Tecnológica   (Sistemas de Información y Tecnologia)</v>
      </c>
      <c r="AA66" s="166" t="s">
        <v>228</v>
      </c>
      <c r="AB66" s="167" t="str">
        <f>IFERROR(VLOOKUP(AA66,TD!$N$55:$O$70,2,0)," ")</f>
        <v>Servicios tecnológicos</v>
      </c>
      <c r="AC66" s="168" t="str">
        <f>CONCATENATE(AA66,"_",AB66)</f>
        <v>007_Servicios tecnológicos</v>
      </c>
      <c r="AD66" s="168" t="str">
        <f>CONCATENATE(Z66," ",AC66)</f>
        <v>11-Infraestructura Tecnológica   (Sistemas de Información y Tecnologia) 007_Servicios tecnológicos</v>
      </c>
      <c r="AE66" s="167" t="str">
        <f>CONCATENATE(U66,V66,W66,X66,AA66)</f>
        <v>O23011745992024020711007</v>
      </c>
      <c r="AF66" s="167" t="str">
        <f>IFERROR(VLOOKUP(AD66,TD!$J$70:$K$93,2,0)," ")</f>
        <v>PM/0131/0111/45990070207</v>
      </c>
      <c r="AG66" s="114" t="s">
        <v>385</v>
      </c>
      <c r="AH66" s="166" t="s">
        <v>193</v>
      </c>
      <c r="AI66" s="169" t="str">
        <f>CONCATENATE(PAA[[#This Row],[Id Interno]],"-",PAA[[#This Row],[tipo de Contrato (TH talento humano - B/S bienes y/o servicios)]],"-",S66,"-",T66,"-",PAA[[#This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67" spans="2:35" ht="70" x14ac:dyDescent="0.35">
      <c r="B67" s="23">
        <v>20260007</v>
      </c>
      <c r="C67" s="97" t="s">
        <v>556</v>
      </c>
      <c r="D67" s="23" t="s">
        <v>105</v>
      </c>
      <c r="E67" s="23" t="s">
        <v>363</v>
      </c>
      <c r="F67" s="163" t="s">
        <v>144</v>
      </c>
      <c r="G67" s="164" t="s">
        <v>373</v>
      </c>
      <c r="H67" s="165">
        <v>11</v>
      </c>
      <c r="I67" s="165">
        <v>0</v>
      </c>
      <c r="J67" s="122">
        <v>60500000</v>
      </c>
      <c r="K67" s="88" t="s">
        <v>398</v>
      </c>
      <c r="L67" s="163" t="s">
        <v>151</v>
      </c>
      <c r="M67" s="166" t="s">
        <v>401</v>
      </c>
      <c r="N67" s="23" t="s">
        <v>197</v>
      </c>
      <c r="O67" s="144" t="s">
        <v>886</v>
      </c>
      <c r="P67" s="163" t="s">
        <v>348</v>
      </c>
      <c r="Q67" s="53" t="s">
        <v>947</v>
      </c>
      <c r="R67" s="166" t="s">
        <v>204</v>
      </c>
      <c r="S67" s="166" t="str">
        <f>MID(PAA[[#This Row],[Meta Proyecto de Inversión]],1,4)</f>
        <v>8126</v>
      </c>
      <c r="T67" s="166" t="str">
        <f>MID(PAA[[#This Row],[Meta Proyecto de Inversión]],6,2)</f>
        <v>5-</v>
      </c>
      <c r="U67" s="167" t="str">
        <f>IFERROR(VLOOKUP(N67,TD!$B$54:$F$58,2,0)," ")</f>
        <v>O230117</v>
      </c>
      <c r="V67" s="167" t="str">
        <f>IFERROR(VLOOKUP(N67,TD!$B$54:$F$58,3,0)," ")</f>
        <v>4599</v>
      </c>
      <c r="W67" s="167">
        <f>IFERROR(VLOOKUP(N67,TD!$B$54:$F$58,4,0)," ")</f>
        <v>20240207</v>
      </c>
      <c r="X67" s="166" t="s">
        <v>168</v>
      </c>
      <c r="Y67" s="167" t="str">
        <f>IFERROR(VLOOKUP(X67,TD!$J$55:$K$68,2,0)," ")</f>
        <v>Infraestructura Tecnológica   (Sistemas de Información y Tecnologia)</v>
      </c>
      <c r="Z67" s="168" t="str">
        <f>CONCATENATE(X67,"-",Y67)</f>
        <v>11-Infraestructura Tecnológica   (Sistemas de Información y Tecnologia)</v>
      </c>
      <c r="AA67" s="166" t="s">
        <v>228</v>
      </c>
      <c r="AB67" s="167" t="str">
        <f>IFERROR(VLOOKUP(AA67,TD!$N$55:$O$70,2,0)," ")</f>
        <v>Servicios tecnológicos</v>
      </c>
      <c r="AC67" s="168" t="str">
        <f>CONCATENATE(AA67,"_",AB67)</f>
        <v>007_Servicios tecnológicos</v>
      </c>
      <c r="AD67" s="168" t="str">
        <f>CONCATENATE(Z67," ",AC67)</f>
        <v>11-Infraestructura Tecnológica   (Sistemas de Información y Tecnologia) 007_Servicios tecnológicos</v>
      </c>
      <c r="AE67" s="167" t="str">
        <f>CONCATENATE(U67,V67,W67,X67,AA67)</f>
        <v>O23011745992024020711007</v>
      </c>
      <c r="AF67" s="167" t="str">
        <f>IFERROR(VLOOKUP(AD67,TD!$J$70:$K$93,2,0)," ")</f>
        <v>PM/0131/0111/45990070207</v>
      </c>
      <c r="AG67" s="114" t="s">
        <v>385</v>
      </c>
      <c r="AH67" s="166" t="s">
        <v>193</v>
      </c>
      <c r="AI67" s="169" t="str">
        <f>CONCATENATE(PAA[[#This Row],[Id Interno]],"-",PAA[[#This Row],[tipo de Contrato (TH talento humano - B/S bienes y/o servicios)]],"-",S67,"-",T67,"-",PAA[[#This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68" spans="2:35" ht="70" x14ac:dyDescent="0.35">
      <c r="B68" s="23">
        <v>20260008</v>
      </c>
      <c r="C68" s="97" t="s">
        <v>557</v>
      </c>
      <c r="D68" s="23" t="s">
        <v>105</v>
      </c>
      <c r="E68" s="23" t="s">
        <v>363</v>
      </c>
      <c r="F68" s="163" t="s">
        <v>145</v>
      </c>
      <c r="G68" s="164" t="s">
        <v>374</v>
      </c>
      <c r="H68" s="165">
        <v>10</v>
      </c>
      <c r="I68" s="165">
        <v>0</v>
      </c>
      <c r="J68" s="122">
        <v>40000000</v>
      </c>
      <c r="K68" s="88" t="s">
        <v>398</v>
      </c>
      <c r="L68" s="163" t="s">
        <v>151</v>
      </c>
      <c r="M68" s="166" t="s">
        <v>401</v>
      </c>
      <c r="N68" s="23" t="s">
        <v>197</v>
      </c>
      <c r="O68" s="144" t="s">
        <v>886</v>
      </c>
      <c r="P68" s="163" t="s">
        <v>348</v>
      </c>
      <c r="Q68" s="53">
        <v>80111600</v>
      </c>
      <c r="R68" s="166" t="s">
        <v>204</v>
      </c>
      <c r="S68" s="166" t="str">
        <f>MID(PAA[[#This Row],[Meta Proyecto de Inversión]],1,4)</f>
        <v>8126</v>
      </c>
      <c r="T68" s="166" t="str">
        <f>MID(PAA[[#This Row],[Meta Proyecto de Inversión]],6,2)</f>
        <v>5-</v>
      </c>
      <c r="U68" s="167" t="str">
        <f>IFERROR(VLOOKUP(N68,TD!$B$54:$F$58,2,0)," ")</f>
        <v>O230117</v>
      </c>
      <c r="V68" s="167" t="str">
        <f>IFERROR(VLOOKUP(N68,TD!$B$54:$F$58,3,0)," ")</f>
        <v>4599</v>
      </c>
      <c r="W68" s="167">
        <f>IFERROR(VLOOKUP(N68,TD!$B$54:$F$58,4,0)," ")</f>
        <v>20240207</v>
      </c>
      <c r="X68" s="166" t="s">
        <v>168</v>
      </c>
      <c r="Y68" s="167" t="str">
        <f>IFERROR(VLOOKUP(X68,TD!$J$55:$K$68,2,0)," ")</f>
        <v>Infraestructura Tecnológica   (Sistemas de Información y Tecnologia)</v>
      </c>
      <c r="Z68" s="168" t="str">
        <f>CONCATENATE(X68,"-",Y68)</f>
        <v>11-Infraestructura Tecnológica   (Sistemas de Información y Tecnologia)</v>
      </c>
      <c r="AA68" s="166" t="s">
        <v>228</v>
      </c>
      <c r="AB68" s="167" t="str">
        <f>IFERROR(VLOOKUP(AA68,TD!$N$55:$O$70,2,0)," ")</f>
        <v>Servicios tecnológicos</v>
      </c>
      <c r="AC68" s="168" t="str">
        <f>CONCATENATE(AA68,"_",AB68)</f>
        <v>007_Servicios tecnológicos</v>
      </c>
      <c r="AD68" s="168" t="str">
        <f>CONCATENATE(Z68," ",AC68)</f>
        <v>11-Infraestructura Tecnológica   (Sistemas de Información y Tecnologia) 007_Servicios tecnológicos</v>
      </c>
      <c r="AE68" s="167" t="str">
        <f>CONCATENATE(U68,V68,W68,X68,AA68)</f>
        <v>O23011745992024020711007</v>
      </c>
      <c r="AF68" s="167" t="str">
        <f>IFERROR(VLOOKUP(AD68,TD!$J$70:$K$93,2,0)," ")</f>
        <v>PM/0131/0111/45990070207</v>
      </c>
      <c r="AG68" s="114" t="s">
        <v>385</v>
      </c>
      <c r="AH68" s="166" t="s">
        <v>193</v>
      </c>
      <c r="AI68" s="169" t="str">
        <f>CONCATENATE(PAA[[#This Row],[Id Interno]],"-",PAA[[#This Row],[tipo de Contrato (TH talento humano - B/S bienes y/o servicios)]],"-",S68,"-",T68,"-",PAA[[#This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69" spans="2:35" ht="70" x14ac:dyDescent="0.35">
      <c r="B69" s="23">
        <v>20260009</v>
      </c>
      <c r="C69" s="97" t="s">
        <v>557</v>
      </c>
      <c r="D69" s="23" t="s">
        <v>105</v>
      </c>
      <c r="E69" s="23" t="s">
        <v>363</v>
      </c>
      <c r="F69" s="163" t="s">
        <v>145</v>
      </c>
      <c r="G69" s="164" t="s">
        <v>373</v>
      </c>
      <c r="H69" s="165">
        <v>6</v>
      </c>
      <c r="I69" s="165">
        <v>0</v>
      </c>
      <c r="J69" s="122">
        <v>24000000</v>
      </c>
      <c r="K69" s="88" t="s">
        <v>398</v>
      </c>
      <c r="L69" s="163" t="s">
        <v>151</v>
      </c>
      <c r="M69" s="166" t="s">
        <v>401</v>
      </c>
      <c r="N69" s="23" t="s">
        <v>197</v>
      </c>
      <c r="O69" s="144" t="s">
        <v>886</v>
      </c>
      <c r="P69" s="163" t="s">
        <v>348</v>
      </c>
      <c r="Q69" s="53">
        <v>80111600</v>
      </c>
      <c r="R69" s="166" t="s">
        <v>204</v>
      </c>
      <c r="S69" s="166" t="str">
        <f>MID(PAA[[#This Row],[Meta Proyecto de Inversión]],1,4)</f>
        <v>8126</v>
      </c>
      <c r="T69" s="166" t="str">
        <f>MID(PAA[[#This Row],[Meta Proyecto de Inversión]],6,2)</f>
        <v>5-</v>
      </c>
      <c r="U69" s="167" t="str">
        <f>IFERROR(VLOOKUP(N69,TD!$B$54:$F$58,2,0)," ")</f>
        <v>O230117</v>
      </c>
      <c r="V69" s="167" t="str">
        <f>IFERROR(VLOOKUP(N69,TD!$B$54:$F$58,3,0)," ")</f>
        <v>4599</v>
      </c>
      <c r="W69" s="167">
        <f>IFERROR(VLOOKUP(N69,TD!$B$54:$F$58,4,0)," ")</f>
        <v>20240207</v>
      </c>
      <c r="X69" s="166" t="s">
        <v>168</v>
      </c>
      <c r="Y69" s="167" t="str">
        <f>IFERROR(VLOOKUP(X69,TD!$J$55:$K$68,2,0)," ")</f>
        <v>Infraestructura Tecnológica   (Sistemas de Información y Tecnologia)</v>
      </c>
      <c r="Z69" s="168" t="str">
        <f>CONCATENATE(X69,"-",Y69)</f>
        <v>11-Infraestructura Tecnológica   (Sistemas de Información y Tecnologia)</v>
      </c>
      <c r="AA69" s="166" t="s">
        <v>228</v>
      </c>
      <c r="AB69" s="167" t="str">
        <f>IFERROR(VLOOKUP(AA69,TD!$N$55:$O$70,2,0)," ")</f>
        <v>Servicios tecnológicos</v>
      </c>
      <c r="AC69" s="168" t="str">
        <f>CONCATENATE(AA69,"_",AB69)</f>
        <v>007_Servicios tecnológicos</v>
      </c>
      <c r="AD69" s="168" t="str">
        <f>CONCATENATE(Z69," ",AC69)</f>
        <v>11-Infraestructura Tecnológica   (Sistemas de Información y Tecnologia) 007_Servicios tecnológicos</v>
      </c>
      <c r="AE69" s="167" t="str">
        <f>CONCATENATE(U69,V69,W69,X69,AA69)</f>
        <v>O23011745992024020711007</v>
      </c>
      <c r="AF69" s="167" t="str">
        <f>IFERROR(VLOOKUP(AD69,TD!$J$70:$K$93,2,0)," ")</f>
        <v>PM/0131/0111/45990070207</v>
      </c>
      <c r="AG69" s="114" t="s">
        <v>385</v>
      </c>
      <c r="AH69" s="166" t="s">
        <v>193</v>
      </c>
      <c r="AI69" s="169" t="str">
        <f>CONCATENATE(PAA[[#This Row],[Id Interno]],"-",PAA[[#This Row],[tipo de Contrato (TH talento humano - B/S bienes y/o servicios)]],"-",S69,"-",T69,"-",PAA[[#This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70" spans="2:35" ht="56" x14ac:dyDescent="0.35">
      <c r="B70" s="23">
        <v>20260010</v>
      </c>
      <c r="C70" s="97" t="s">
        <v>558</v>
      </c>
      <c r="D70" s="23" t="s">
        <v>105</v>
      </c>
      <c r="E70" s="23" t="s">
        <v>363</v>
      </c>
      <c r="F70" s="163" t="s">
        <v>144</v>
      </c>
      <c r="G70" s="164" t="s">
        <v>373</v>
      </c>
      <c r="H70" s="165">
        <v>12</v>
      </c>
      <c r="I70" s="165">
        <v>0</v>
      </c>
      <c r="J70" s="122">
        <v>84000000</v>
      </c>
      <c r="K70" s="88" t="s">
        <v>398</v>
      </c>
      <c r="L70" s="163" t="s">
        <v>151</v>
      </c>
      <c r="M70" s="166" t="s">
        <v>401</v>
      </c>
      <c r="N70" s="23" t="s">
        <v>197</v>
      </c>
      <c r="O70" s="144" t="s">
        <v>886</v>
      </c>
      <c r="P70" s="163" t="s">
        <v>348</v>
      </c>
      <c r="Q70" s="53">
        <v>80111600</v>
      </c>
      <c r="R70" s="166" t="s">
        <v>203</v>
      </c>
      <c r="S70" s="166" t="str">
        <f>MID(PAA[[#This Row],[Meta Proyecto de Inversión]],1,4)</f>
        <v>8126</v>
      </c>
      <c r="T70" s="166" t="str">
        <f>MID(PAA[[#This Row],[Meta Proyecto de Inversión]],6,2)</f>
        <v>4-</v>
      </c>
      <c r="U70" s="167" t="str">
        <f>IFERROR(VLOOKUP(N70,TD!$B$54:$F$58,2,0)," ")</f>
        <v>O230117</v>
      </c>
      <c r="V70" s="167" t="str">
        <f>IFERROR(VLOOKUP(N70,TD!$B$54:$F$58,3,0)," ")</f>
        <v>4599</v>
      </c>
      <c r="W70" s="167">
        <f>IFERROR(VLOOKUP(N70,TD!$B$54:$F$58,4,0)," ")</f>
        <v>20240207</v>
      </c>
      <c r="X70" s="166" t="s">
        <v>168</v>
      </c>
      <c r="Y70" s="167" t="str">
        <f>IFERROR(VLOOKUP(X70,TD!$J$55:$K$68,2,0)," ")</f>
        <v>Infraestructura Tecnológica   (Sistemas de Información y Tecnologia)</v>
      </c>
      <c r="Z70" s="168" t="str">
        <f>CONCATENATE(X70,"-",Y70)</f>
        <v>11-Infraestructura Tecnológica   (Sistemas de Información y Tecnologia)</v>
      </c>
      <c r="AA70" s="166" t="s">
        <v>228</v>
      </c>
      <c r="AB70" s="167" t="str">
        <f>IFERROR(VLOOKUP(AA70,TD!$N$55:$O$70,2,0)," ")</f>
        <v>Servicios tecnológicos</v>
      </c>
      <c r="AC70" s="168" t="str">
        <f>CONCATENATE(AA70,"_",AB70)</f>
        <v>007_Servicios tecnológicos</v>
      </c>
      <c r="AD70" s="168" t="str">
        <f>CONCATENATE(Z70," ",AC70)</f>
        <v>11-Infraestructura Tecnológica   (Sistemas de Información y Tecnologia) 007_Servicios tecnológicos</v>
      </c>
      <c r="AE70" s="167" t="str">
        <f>CONCATENATE(U70,V70,W70,X70,AA70)</f>
        <v>O23011745992024020711007</v>
      </c>
      <c r="AF70" s="167" t="str">
        <f>IFERROR(VLOOKUP(AD70,TD!$J$70:$K$93,2,0)," ")</f>
        <v>PM/0131/0111/45990070207</v>
      </c>
      <c r="AG70" s="114" t="s">
        <v>385</v>
      </c>
      <c r="AH70" s="166" t="s">
        <v>193</v>
      </c>
      <c r="AI70" s="169" t="str">
        <f>CONCATENATE(PAA[[#This Row],[Id Interno]],"-",PAA[[#This Row],[tipo de Contrato (TH talento humano - B/S bienes y/o servicios)]],"-",S70,"-",T70,"-",PAA[[#This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71" spans="2:35" ht="56" x14ac:dyDescent="0.35">
      <c r="B71" s="23">
        <v>20260011</v>
      </c>
      <c r="C71" s="97" t="s">
        <v>559</v>
      </c>
      <c r="D71" s="23" t="s">
        <v>105</v>
      </c>
      <c r="E71" s="23" t="s">
        <v>363</v>
      </c>
      <c r="F71" s="163" t="s">
        <v>144</v>
      </c>
      <c r="G71" s="164" t="s">
        <v>374</v>
      </c>
      <c r="H71" s="165">
        <v>10</v>
      </c>
      <c r="I71" s="165">
        <v>0</v>
      </c>
      <c r="J71" s="122">
        <v>78000000</v>
      </c>
      <c r="K71" s="88" t="s">
        <v>398</v>
      </c>
      <c r="L71" s="163" t="s">
        <v>151</v>
      </c>
      <c r="M71" s="174" t="s">
        <v>401</v>
      </c>
      <c r="N71" s="23" t="s">
        <v>197</v>
      </c>
      <c r="O71" s="144" t="s">
        <v>886</v>
      </c>
      <c r="P71" s="163" t="s">
        <v>348</v>
      </c>
      <c r="Q71" s="53">
        <v>80111600</v>
      </c>
      <c r="R71" s="166" t="s">
        <v>206</v>
      </c>
      <c r="S71" s="166" t="str">
        <f>MID(PAA[[#This Row],[Meta Proyecto de Inversión]],1,4)</f>
        <v>8126</v>
      </c>
      <c r="T71" s="166" t="str">
        <f>MID(PAA[[#This Row],[Meta Proyecto de Inversión]],6,2)</f>
        <v>7-</v>
      </c>
      <c r="U71" s="167" t="str">
        <f>IFERROR(VLOOKUP(N71,TD!$B$54:$F$58,2,0)," ")</f>
        <v>O230117</v>
      </c>
      <c r="V71" s="167" t="str">
        <f>IFERROR(VLOOKUP(N71,TD!$B$54:$F$58,3,0)," ")</f>
        <v>4599</v>
      </c>
      <c r="W71" s="167">
        <f>IFERROR(VLOOKUP(N71,TD!$B$54:$F$58,4,0)," ")</f>
        <v>20240207</v>
      </c>
      <c r="X71" s="166" t="s">
        <v>168</v>
      </c>
      <c r="Y71" s="167" t="str">
        <f>IFERROR(VLOOKUP(X71,TD!$J$55:$K$68,2,0)," ")</f>
        <v>Infraestructura Tecnológica   (Sistemas de Información y Tecnologia)</v>
      </c>
      <c r="Z71" s="168" t="str">
        <f>CONCATENATE(X71,"-",Y71)</f>
        <v>11-Infraestructura Tecnológica   (Sistemas de Información y Tecnologia)</v>
      </c>
      <c r="AA71" s="166" t="s">
        <v>228</v>
      </c>
      <c r="AB71" s="167" t="str">
        <f>IFERROR(VLOOKUP(AA71,TD!$N$55:$O$70,2,0)," ")</f>
        <v>Servicios tecnológicos</v>
      </c>
      <c r="AC71" s="168" t="str">
        <f>CONCATENATE(AA71,"_",AB71)</f>
        <v>007_Servicios tecnológicos</v>
      </c>
      <c r="AD71" s="168" t="str">
        <f>CONCATENATE(Z71," ",AC71)</f>
        <v>11-Infraestructura Tecnológica   (Sistemas de Información y Tecnologia) 007_Servicios tecnológicos</v>
      </c>
      <c r="AE71" s="167" t="str">
        <f>CONCATENATE(U71,V71,W71,X71,AA71)</f>
        <v>O23011745992024020711007</v>
      </c>
      <c r="AF71" s="167" t="str">
        <f>IFERROR(VLOOKUP(AD71,TD!$J$70:$K$93,2,0)," ")</f>
        <v>PM/0131/0111/45990070207</v>
      </c>
      <c r="AG71" s="114" t="s">
        <v>385</v>
      </c>
      <c r="AH71" s="166" t="s">
        <v>193</v>
      </c>
      <c r="AI71" s="169" t="str">
        <f>CONCATENATE(PAA[[#This Row],[Id Interno]],"-",PAA[[#This Row],[tipo de Contrato (TH talento humano - B/S bienes y/o servicios)]],"-",S71,"-",T71,"-",PAA[[#This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2" spans="2:35" ht="70" x14ac:dyDescent="0.35">
      <c r="B72" s="23">
        <v>20260012</v>
      </c>
      <c r="C72" s="97" t="s">
        <v>560</v>
      </c>
      <c r="D72" s="23" t="s">
        <v>105</v>
      </c>
      <c r="E72" s="23" t="s">
        <v>363</v>
      </c>
      <c r="F72" s="163" t="s">
        <v>144</v>
      </c>
      <c r="G72" s="164" t="s">
        <v>373</v>
      </c>
      <c r="H72" s="165">
        <v>12</v>
      </c>
      <c r="I72" s="165">
        <v>0</v>
      </c>
      <c r="J72" s="122">
        <v>61920000</v>
      </c>
      <c r="K72" s="88" t="s">
        <v>398</v>
      </c>
      <c r="L72" s="163" t="s">
        <v>151</v>
      </c>
      <c r="M72" s="174" t="s">
        <v>401</v>
      </c>
      <c r="N72" s="23" t="s">
        <v>197</v>
      </c>
      <c r="O72" s="144" t="s">
        <v>886</v>
      </c>
      <c r="P72" s="163" t="s">
        <v>348</v>
      </c>
      <c r="Q72" s="53">
        <v>80111600</v>
      </c>
      <c r="R72" s="166" t="s">
        <v>205</v>
      </c>
      <c r="S72" s="166" t="str">
        <f>MID(PAA[[#This Row],[Meta Proyecto de Inversión]],1,4)</f>
        <v>8126</v>
      </c>
      <c r="T72" s="166" t="str">
        <f>MID(PAA[[#This Row],[Meta Proyecto de Inversión]],6,2)</f>
        <v>6-</v>
      </c>
      <c r="U72" s="167" t="str">
        <f>IFERROR(VLOOKUP(N72,TD!$B$54:$F$58,2,0)," ")</f>
        <v>O230117</v>
      </c>
      <c r="V72" s="167" t="str">
        <f>IFERROR(VLOOKUP(N72,TD!$B$54:$F$58,3,0)," ")</f>
        <v>4599</v>
      </c>
      <c r="W72" s="167">
        <f>IFERROR(VLOOKUP(N72,TD!$B$54:$F$58,4,0)," ")</f>
        <v>20240207</v>
      </c>
      <c r="X72" s="166" t="s">
        <v>168</v>
      </c>
      <c r="Y72" s="167" t="str">
        <f>IFERROR(VLOOKUP(X72,TD!$J$55:$K$68,2,0)," ")</f>
        <v>Infraestructura Tecnológica   (Sistemas de Información y Tecnologia)</v>
      </c>
      <c r="Z72" s="168" t="str">
        <f>CONCATENATE(X72,"-",Y72)</f>
        <v>11-Infraestructura Tecnológica   (Sistemas de Información y Tecnologia)</v>
      </c>
      <c r="AA72" s="166" t="s">
        <v>228</v>
      </c>
      <c r="AB72" s="167" t="str">
        <f>IFERROR(VLOOKUP(AA72,TD!$N$55:$O$70,2,0)," ")</f>
        <v>Servicios tecnológicos</v>
      </c>
      <c r="AC72" s="168" t="str">
        <f>CONCATENATE(AA72,"_",AB72)</f>
        <v>007_Servicios tecnológicos</v>
      </c>
      <c r="AD72" s="168" t="str">
        <f>CONCATENATE(Z72," ",AC72)</f>
        <v>11-Infraestructura Tecnológica   (Sistemas de Información y Tecnologia) 007_Servicios tecnológicos</v>
      </c>
      <c r="AE72" s="167" t="str">
        <f>CONCATENATE(U72,V72,W72,X72,AA72)</f>
        <v>O23011745992024020711007</v>
      </c>
      <c r="AF72" s="167" t="str">
        <f>IFERROR(VLOOKUP(AD72,TD!$J$70:$K$93,2,0)," ")</f>
        <v>PM/0131/0111/45990070207</v>
      </c>
      <c r="AG72" s="114" t="s">
        <v>385</v>
      </c>
      <c r="AH72" s="166" t="s">
        <v>193</v>
      </c>
      <c r="AI72" s="169" t="str">
        <f>CONCATENATE(PAA[[#This Row],[Id Interno]],"-",PAA[[#This Row],[tipo de Contrato (TH talento humano - B/S bienes y/o servicios)]],"-",S72,"-",T72,"-",PAA[[#This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73" spans="2:35" ht="70" x14ac:dyDescent="0.35">
      <c r="B73" s="23">
        <v>20260013</v>
      </c>
      <c r="C73" s="97" t="s">
        <v>561</v>
      </c>
      <c r="D73" s="23" t="s">
        <v>105</v>
      </c>
      <c r="E73" s="23" t="s">
        <v>363</v>
      </c>
      <c r="F73" s="163" t="s">
        <v>144</v>
      </c>
      <c r="G73" s="164" t="s">
        <v>374</v>
      </c>
      <c r="H73" s="165">
        <v>6</v>
      </c>
      <c r="I73" s="165">
        <v>0</v>
      </c>
      <c r="J73" s="122">
        <v>42000000</v>
      </c>
      <c r="K73" s="88" t="s">
        <v>398</v>
      </c>
      <c r="L73" s="163" t="s">
        <v>151</v>
      </c>
      <c r="M73" s="174" t="s">
        <v>401</v>
      </c>
      <c r="N73" s="23" t="s">
        <v>197</v>
      </c>
      <c r="O73" s="144" t="s">
        <v>886</v>
      </c>
      <c r="P73" s="163" t="s">
        <v>348</v>
      </c>
      <c r="Q73" s="53">
        <v>80111600</v>
      </c>
      <c r="R73" s="166" t="s">
        <v>203</v>
      </c>
      <c r="S73" s="166" t="str">
        <f>MID(PAA[[#This Row],[Meta Proyecto de Inversión]],1,4)</f>
        <v>8126</v>
      </c>
      <c r="T73" s="166" t="str">
        <f>MID(PAA[[#This Row],[Meta Proyecto de Inversión]],6,2)</f>
        <v>4-</v>
      </c>
      <c r="U73" s="167" t="str">
        <f>IFERROR(VLOOKUP(N73,TD!$B$54:$F$58,2,0)," ")</f>
        <v>O230117</v>
      </c>
      <c r="V73" s="167" t="str">
        <f>IFERROR(VLOOKUP(N73,TD!$B$54:$F$58,3,0)," ")</f>
        <v>4599</v>
      </c>
      <c r="W73" s="167">
        <f>IFERROR(VLOOKUP(N73,TD!$B$54:$F$58,4,0)," ")</f>
        <v>20240207</v>
      </c>
      <c r="X73" s="166" t="s">
        <v>168</v>
      </c>
      <c r="Y73" s="167" t="str">
        <f>IFERROR(VLOOKUP(X73,TD!$J$55:$K$68,2,0)," ")</f>
        <v>Infraestructura Tecnológica   (Sistemas de Información y Tecnologia)</v>
      </c>
      <c r="Z73" s="168" t="str">
        <f>CONCATENATE(X73,"-",Y73)</f>
        <v>11-Infraestructura Tecnológica   (Sistemas de Información y Tecnologia)</v>
      </c>
      <c r="AA73" s="166" t="s">
        <v>228</v>
      </c>
      <c r="AB73" s="167" t="str">
        <f>IFERROR(VLOOKUP(AA73,TD!$N$55:$O$70,2,0)," ")</f>
        <v>Servicios tecnológicos</v>
      </c>
      <c r="AC73" s="168" t="str">
        <f>CONCATENATE(AA73,"_",AB73)</f>
        <v>007_Servicios tecnológicos</v>
      </c>
      <c r="AD73" s="168" t="str">
        <f>CONCATENATE(Z73," ",AC73)</f>
        <v>11-Infraestructura Tecnológica   (Sistemas de Información y Tecnologia) 007_Servicios tecnológicos</v>
      </c>
      <c r="AE73" s="167" t="str">
        <f>CONCATENATE(U73,V73,W73,X73,AA73)</f>
        <v>O23011745992024020711007</v>
      </c>
      <c r="AF73" s="167" t="str">
        <f>IFERROR(VLOOKUP(AD73,TD!$J$70:$K$93,2,0)," ")</f>
        <v>PM/0131/0111/45990070207</v>
      </c>
      <c r="AG73" s="114" t="s">
        <v>385</v>
      </c>
      <c r="AH73" s="166" t="s">
        <v>193</v>
      </c>
      <c r="AI73" s="169" t="str">
        <f>CONCATENATE(PAA[[#This Row],[Id Interno]],"-",PAA[[#This Row],[tipo de Contrato (TH talento humano - B/S bienes y/o servicios)]],"-",S73,"-",T73,"-",PAA[[#This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4" spans="2:35" ht="70" x14ac:dyDescent="0.35">
      <c r="B74" s="23">
        <v>20260014</v>
      </c>
      <c r="C74" s="97" t="s">
        <v>562</v>
      </c>
      <c r="D74" s="23" t="s">
        <v>105</v>
      </c>
      <c r="E74" s="23" t="s">
        <v>363</v>
      </c>
      <c r="F74" s="163" t="s">
        <v>145</v>
      </c>
      <c r="G74" s="164" t="s">
        <v>373</v>
      </c>
      <c r="H74" s="165">
        <v>6</v>
      </c>
      <c r="I74" s="165">
        <v>0</v>
      </c>
      <c r="J74" s="122">
        <v>26940000</v>
      </c>
      <c r="K74" s="88" t="s">
        <v>398</v>
      </c>
      <c r="L74" s="163" t="s">
        <v>151</v>
      </c>
      <c r="M74" s="174" t="s">
        <v>401</v>
      </c>
      <c r="N74" s="23" t="s">
        <v>197</v>
      </c>
      <c r="O74" s="144" t="s">
        <v>886</v>
      </c>
      <c r="P74" s="163" t="s">
        <v>348</v>
      </c>
      <c r="Q74" s="53">
        <v>80111600</v>
      </c>
      <c r="R74" s="166" t="s">
        <v>203</v>
      </c>
      <c r="S74" s="166" t="str">
        <f>MID(PAA[[#This Row],[Meta Proyecto de Inversión]],1,4)</f>
        <v>8126</v>
      </c>
      <c r="T74" s="166" t="str">
        <f>MID(PAA[[#This Row],[Meta Proyecto de Inversión]],6,2)</f>
        <v>4-</v>
      </c>
      <c r="U74" s="167" t="str">
        <f>IFERROR(VLOOKUP(N74,TD!$B$54:$F$58,2,0)," ")</f>
        <v>O230117</v>
      </c>
      <c r="V74" s="167" t="str">
        <f>IFERROR(VLOOKUP(N74,TD!$B$54:$F$58,3,0)," ")</f>
        <v>4599</v>
      </c>
      <c r="W74" s="167">
        <f>IFERROR(VLOOKUP(N74,TD!$B$54:$F$58,4,0)," ")</f>
        <v>20240207</v>
      </c>
      <c r="X74" s="166" t="s">
        <v>168</v>
      </c>
      <c r="Y74" s="167" t="str">
        <f>IFERROR(VLOOKUP(X74,TD!$J$55:$K$68,2,0)," ")</f>
        <v>Infraestructura Tecnológica   (Sistemas de Información y Tecnologia)</v>
      </c>
      <c r="Z74" s="168" t="str">
        <f>CONCATENATE(X74,"-",Y74)</f>
        <v>11-Infraestructura Tecnológica   (Sistemas de Información y Tecnologia)</v>
      </c>
      <c r="AA74" s="166" t="s">
        <v>228</v>
      </c>
      <c r="AB74" s="167" t="str">
        <f>IFERROR(VLOOKUP(AA74,TD!$N$55:$O$70,2,0)," ")</f>
        <v>Servicios tecnológicos</v>
      </c>
      <c r="AC74" s="168" t="str">
        <f>CONCATENATE(AA74,"_",AB74)</f>
        <v>007_Servicios tecnológicos</v>
      </c>
      <c r="AD74" s="168" t="str">
        <f>CONCATENATE(Z74," ",AC74)</f>
        <v>11-Infraestructura Tecnológica   (Sistemas de Información y Tecnologia) 007_Servicios tecnológicos</v>
      </c>
      <c r="AE74" s="167" t="str">
        <f>CONCATENATE(U74,V74,W74,X74,AA74)</f>
        <v>O23011745992024020711007</v>
      </c>
      <c r="AF74" s="167" t="str">
        <f>IFERROR(VLOOKUP(AD74,TD!$J$70:$K$93,2,0)," ")</f>
        <v>PM/0131/0111/45990070207</v>
      </c>
      <c r="AG74" s="114" t="s">
        <v>385</v>
      </c>
      <c r="AH74" s="166" t="s">
        <v>193</v>
      </c>
      <c r="AI74" s="169" t="str">
        <f>CONCATENATE(PAA[[#This Row],[Id Interno]],"-",PAA[[#This Row],[tipo de Contrato (TH talento humano - B/S bienes y/o servicios)]],"-",S74,"-",T74,"-",PAA[[#This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75" spans="2:35" ht="84" x14ac:dyDescent="0.35">
      <c r="B75" s="23">
        <v>20260015</v>
      </c>
      <c r="C75" s="97" t="s">
        <v>557</v>
      </c>
      <c r="D75" s="23" t="s">
        <v>105</v>
      </c>
      <c r="E75" s="23" t="s">
        <v>363</v>
      </c>
      <c r="F75" s="163" t="s">
        <v>145</v>
      </c>
      <c r="G75" s="164" t="s">
        <v>373</v>
      </c>
      <c r="H75" s="165">
        <v>11</v>
      </c>
      <c r="I75" s="165">
        <v>0</v>
      </c>
      <c r="J75" s="122">
        <v>44000000</v>
      </c>
      <c r="K75" s="88" t="s">
        <v>398</v>
      </c>
      <c r="L75" s="163" t="s">
        <v>151</v>
      </c>
      <c r="M75" s="174" t="s">
        <v>401</v>
      </c>
      <c r="N75" s="23" t="s">
        <v>197</v>
      </c>
      <c r="O75" s="144" t="s">
        <v>886</v>
      </c>
      <c r="P75" s="163" t="s">
        <v>348</v>
      </c>
      <c r="Q75" s="53">
        <v>80111600</v>
      </c>
      <c r="R75" s="166" t="s">
        <v>204</v>
      </c>
      <c r="S75" s="166" t="str">
        <f>MID(PAA[[#This Row],[Meta Proyecto de Inversión]],1,4)</f>
        <v>8126</v>
      </c>
      <c r="T75" s="166" t="str">
        <f>MID(PAA[[#This Row],[Meta Proyecto de Inversión]],6,2)</f>
        <v>5-</v>
      </c>
      <c r="U75" s="167" t="str">
        <f>IFERROR(VLOOKUP(N75,TD!$B$54:$F$58,2,0)," ")</f>
        <v>O230117</v>
      </c>
      <c r="V75" s="167" t="str">
        <f>IFERROR(VLOOKUP(N75,TD!$B$54:$F$58,3,0)," ")</f>
        <v>4599</v>
      </c>
      <c r="W75" s="167">
        <f>IFERROR(VLOOKUP(N75,TD!$B$54:$F$58,4,0)," ")</f>
        <v>20240207</v>
      </c>
      <c r="X75" s="166" t="s">
        <v>168</v>
      </c>
      <c r="Y75" s="167" t="str">
        <f>IFERROR(VLOOKUP(X75,TD!$J$55:$K$68,2,0)," ")</f>
        <v>Infraestructura Tecnológica   (Sistemas de Información y Tecnologia)</v>
      </c>
      <c r="Z75" s="168" t="str">
        <f>CONCATENATE(X75,"-",Y75)</f>
        <v>11-Infraestructura Tecnológica   (Sistemas de Información y Tecnologia)</v>
      </c>
      <c r="AA75" s="166" t="s">
        <v>228</v>
      </c>
      <c r="AB75" s="167" t="str">
        <f>IFERROR(VLOOKUP(AA75,TD!$N$55:$O$70,2,0)," ")</f>
        <v>Servicios tecnológicos</v>
      </c>
      <c r="AC75" s="168" t="str">
        <f>CONCATENATE(AA75,"_",AB75)</f>
        <v>007_Servicios tecnológicos</v>
      </c>
      <c r="AD75" s="168" t="str">
        <f>CONCATENATE(Z75," ",AC75)</f>
        <v>11-Infraestructura Tecnológica   (Sistemas de Información y Tecnologia) 007_Servicios tecnológicos</v>
      </c>
      <c r="AE75" s="167" t="str">
        <f>CONCATENATE(U75,V75,W75,X75,AA75)</f>
        <v>O23011745992024020711007</v>
      </c>
      <c r="AF75" s="167" t="str">
        <f>IFERROR(VLOOKUP(AD75,TD!$J$70:$K$93,2,0)," ")</f>
        <v>PM/0131/0111/45990070207</v>
      </c>
      <c r="AG75" s="114" t="s">
        <v>385</v>
      </c>
      <c r="AH75" s="166" t="s">
        <v>193</v>
      </c>
      <c r="AI75" s="169" t="str">
        <f>CONCATENATE(PAA[[#This Row],[Id Interno]],"-",PAA[[#This Row],[tipo de Contrato (TH talento humano - B/S bienes y/o servicios)]],"-",S75,"-",T75,"-",PAA[[#This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76" spans="2:35" ht="70" x14ac:dyDescent="0.35">
      <c r="B76" s="23">
        <v>20260016</v>
      </c>
      <c r="C76" s="97" t="s">
        <v>563</v>
      </c>
      <c r="D76" s="23" t="s">
        <v>105</v>
      </c>
      <c r="E76" s="23" t="s">
        <v>363</v>
      </c>
      <c r="F76" s="163" t="s">
        <v>145</v>
      </c>
      <c r="G76" s="164" t="s">
        <v>373</v>
      </c>
      <c r="H76" s="165">
        <v>11</v>
      </c>
      <c r="I76" s="165">
        <v>0</v>
      </c>
      <c r="J76" s="122">
        <v>44000000</v>
      </c>
      <c r="K76" s="88" t="s">
        <v>398</v>
      </c>
      <c r="L76" s="163" t="s">
        <v>151</v>
      </c>
      <c r="M76" s="174" t="s">
        <v>401</v>
      </c>
      <c r="N76" s="23" t="s">
        <v>197</v>
      </c>
      <c r="O76" s="144" t="s">
        <v>886</v>
      </c>
      <c r="P76" s="163" t="s">
        <v>348</v>
      </c>
      <c r="Q76" s="53">
        <v>80111600</v>
      </c>
      <c r="R76" s="166" t="s">
        <v>205</v>
      </c>
      <c r="S76" s="166" t="str">
        <f>MID(PAA[[#This Row],[Meta Proyecto de Inversión]],1,4)</f>
        <v>8126</v>
      </c>
      <c r="T76" s="166" t="str">
        <f>MID(PAA[[#This Row],[Meta Proyecto de Inversión]],6,2)</f>
        <v>6-</v>
      </c>
      <c r="U76" s="167" t="str">
        <f>IFERROR(VLOOKUP(N76,TD!$B$54:$F$58,2,0)," ")</f>
        <v>O230117</v>
      </c>
      <c r="V76" s="167" t="str">
        <f>IFERROR(VLOOKUP(N76,TD!$B$54:$F$58,3,0)," ")</f>
        <v>4599</v>
      </c>
      <c r="W76" s="167">
        <f>IFERROR(VLOOKUP(N76,TD!$B$54:$F$58,4,0)," ")</f>
        <v>20240207</v>
      </c>
      <c r="X76" s="166" t="s">
        <v>168</v>
      </c>
      <c r="Y76" s="167" t="str">
        <f>IFERROR(VLOOKUP(X76,TD!$J$55:$K$68,2,0)," ")</f>
        <v>Infraestructura Tecnológica   (Sistemas de Información y Tecnologia)</v>
      </c>
      <c r="Z76" s="168" t="str">
        <f>CONCATENATE(X76,"-",Y76)</f>
        <v>11-Infraestructura Tecnológica   (Sistemas de Información y Tecnologia)</v>
      </c>
      <c r="AA76" s="166" t="s">
        <v>228</v>
      </c>
      <c r="AB76" s="167" t="str">
        <f>IFERROR(VLOOKUP(AA76,TD!$N$55:$O$70,2,0)," ")</f>
        <v>Servicios tecnológicos</v>
      </c>
      <c r="AC76" s="168" t="str">
        <f>CONCATENATE(AA76,"_",AB76)</f>
        <v>007_Servicios tecnológicos</v>
      </c>
      <c r="AD76" s="168" t="str">
        <f>CONCATENATE(Z76," ",AC76)</f>
        <v>11-Infraestructura Tecnológica   (Sistemas de Información y Tecnologia) 007_Servicios tecnológicos</v>
      </c>
      <c r="AE76" s="167" t="str">
        <f>CONCATENATE(U76,V76,W76,X76,AA76)</f>
        <v>O23011745992024020711007</v>
      </c>
      <c r="AF76" s="167" t="str">
        <f>IFERROR(VLOOKUP(AD76,TD!$J$70:$K$93,2,0)," ")</f>
        <v>PM/0131/0111/45990070207</v>
      </c>
      <c r="AG76" s="114" t="s">
        <v>385</v>
      </c>
      <c r="AH76" s="166" t="s">
        <v>193</v>
      </c>
      <c r="AI76" s="169" t="str">
        <f>CONCATENATE(PAA[[#This Row],[Id Interno]],"-",PAA[[#This Row],[tipo de Contrato (TH talento humano - B/S bienes y/o servicios)]],"-",S76,"-",T76,"-",PAA[[#This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77" spans="2:35" ht="56" x14ac:dyDescent="0.35">
      <c r="B77" s="23">
        <v>20260017</v>
      </c>
      <c r="C77" s="97" t="s">
        <v>564</v>
      </c>
      <c r="D77" s="23" t="s">
        <v>105</v>
      </c>
      <c r="E77" s="23" t="s">
        <v>363</v>
      </c>
      <c r="F77" s="163" t="s">
        <v>144</v>
      </c>
      <c r="G77" s="164" t="s">
        <v>373</v>
      </c>
      <c r="H77" s="165">
        <v>10</v>
      </c>
      <c r="I77" s="165">
        <v>0</v>
      </c>
      <c r="J77" s="122">
        <v>78000000</v>
      </c>
      <c r="K77" s="88" t="s">
        <v>398</v>
      </c>
      <c r="L77" s="163" t="s">
        <v>151</v>
      </c>
      <c r="M77" s="174" t="s">
        <v>401</v>
      </c>
      <c r="N77" s="23" t="s">
        <v>197</v>
      </c>
      <c r="O77" s="144" t="s">
        <v>886</v>
      </c>
      <c r="P77" s="163" t="s">
        <v>348</v>
      </c>
      <c r="Q77" s="53">
        <v>80111600</v>
      </c>
      <c r="R77" s="166" t="s">
        <v>205</v>
      </c>
      <c r="S77" s="166" t="str">
        <f>MID(PAA[[#This Row],[Meta Proyecto de Inversión]],1,4)</f>
        <v>8126</v>
      </c>
      <c r="T77" s="166" t="str">
        <f>MID(PAA[[#This Row],[Meta Proyecto de Inversión]],6,2)</f>
        <v>6-</v>
      </c>
      <c r="U77" s="167" t="str">
        <f>IFERROR(VLOOKUP(N77,TD!$B$54:$F$58,2,0)," ")</f>
        <v>O230117</v>
      </c>
      <c r="V77" s="167" t="str">
        <f>IFERROR(VLOOKUP(N77,TD!$B$54:$F$58,3,0)," ")</f>
        <v>4599</v>
      </c>
      <c r="W77" s="167">
        <f>IFERROR(VLOOKUP(N77,TD!$B$54:$F$58,4,0)," ")</f>
        <v>20240207</v>
      </c>
      <c r="X77" s="166" t="s">
        <v>168</v>
      </c>
      <c r="Y77" s="167" t="str">
        <f>IFERROR(VLOOKUP(X77,TD!$J$55:$K$68,2,0)," ")</f>
        <v>Infraestructura Tecnológica   (Sistemas de Información y Tecnologia)</v>
      </c>
      <c r="Z77" s="168" t="str">
        <f>CONCATENATE(X77,"-",Y77)</f>
        <v>11-Infraestructura Tecnológica   (Sistemas de Información y Tecnologia)</v>
      </c>
      <c r="AA77" s="166" t="s">
        <v>228</v>
      </c>
      <c r="AB77" s="167" t="str">
        <f>IFERROR(VLOOKUP(AA77,TD!$N$55:$O$70,2,0)," ")</f>
        <v>Servicios tecnológicos</v>
      </c>
      <c r="AC77" s="168" t="str">
        <f>CONCATENATE(AA77,"_",AB77)</f>
        <v>007_Servicios tecnológicos</v>
      </c>
      <c r="AD77" s="168" t="str">
        <f>CONCATENATE(Z77," ",AC77)</f>
        <v>11-Infraestructura Tecnológica   (Sistemas de Información y Tecnologia) 007_Servicios tecnológicos</v>
      </c>
      <c r="AE77" s="167" t="str">
        <f>CONCATENATE(U77,V77,W77,X77,AA77)</f>
        <v>O23011745992024020711007</v>
      </c>
      <c r="AF77" s="167" t="str">
        <f>IFERROR(VLOOKUP(AD77,TD!$J$70:$K$93,2,0)," ")</f>
        <v>PM/0131/0111/45990070207</v>
      </c>
      <c r="AG77" s="114" t="s">
        <v>385</v>
      </c>
      <c r="AH77" s="166" t="s">
        <v>193</v>
      </c>
      <c r="AI77" s="169" t="str">
        <f>CONCATENATE(PAA[[#This Row],[Id Interno]],"-",PAA[[#This Row],[tipo de Contrato (TH talento humano - B/S bienes y/o servicios)]],"-",S77,"-",T77,"-",PAA[[#This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78" spans="2:35" ht="70" x14ac:dyDescent="0.35">
      <c r="B78" s="23">
        <v>20260018</v>
      </c>
      <c r="C78" s="97" t="s">
        <v>565</v>
      </c>
      <c r="D78" s="23" t="s">
        <v>105</v>
      </c>
      <c r="E78" s="23" t="s">
        <v>363</v>
      </c>
      <c r="F78" s="163" t="s">
        <v>144</v>
      </c>
      <c r="G78" s="164" t="s">
        <v>373</v>
      </c>
      <c r="H78" s="165">
        <v>10</v>
      </c>
      <c r="I78" s="165">
        <v>0</v>
      </c>
      <c r="J78" s="122">
        <v>49000000</v>
      </c>
      <c r="K78" s="88" t="s">
        <v>398</v>
      </c>
      <c r="L78" s="163" t="s">
        <v>151</v>
      </c>
      <c r="M78" s="174" t="s">
        <v>401</v>
      </c>
      <c r="N78" s="23" t="s">
        <v>197</v>
      </c>
      <c r="O78" s="144" t="s">
        <v>886</v>
      </c>
      <c r="P78" s="163" t="s">
        <v>348</v>
      </c>
      <c r="Q78" s="53">
        <v>80111600</v>
      </c>
      <c r="R78" s="166" t="s">
        <v>204</v>
      </c>
      <c r="S78" s="166" t="str">
        <f>MID(PAA[[#This Row],[Meta Proyecto de Inversión]],1,4)</f>
        <v>8126</v>
      </c>
      <c r="T78" s="166" t="str">
        <f>MID(PAA[[#This Row],[Meta Proyecto de Inversión]],6,2)</f>
        <v>5-</v>
      </c>
      <c r="U78" s="167" t="str">
        <f>IFERROR(VLOOKUP(N78,TD!$B$54:$F$58,2,0)," ")</f>
        <v>O230117</v>
      </c>
      <c r="V78" s="167" t="str">
        <f>IFERROR(VLOOKUP(N78,TD!$B$54:$F$58,3,0)," ")</f>
        <v>4599</v>
      </c>
      <c r="W78" s="167">
        <f>IFERROR(VLOOKUP(N78,TD!$B$54:$F$58,4,0)," ")</f>
        <v>20240207</v>
      </c>
      <c r="X78" s="166" t="s">
        <v>168</v>
      </c>
      <c r="Y78" s="167" t="str">
        <f>IFERROR(VLOOKUP(X78,TD!$J$55:$K$68,2,0)," ")</f>
        <v>Infraestructura Tecnológica   (Sistemas de Información y Tecnologia)</v>
      </c>
      <c r="Z78" s="168" t="str">
        <f>CONCATENATE(X78,"-",Y78)</f>
        <v>11-Infraestructura Tecnológica   (Sistemas de Información y Tecnologia)</v>
      </c>
      <c r="AA78" s="166" t="s">
        <v>228</v>
      </c>
      <c r="AB78" s="167" t="str">
        <f>IFERROR(VLOOKUP(AA78,TD!$N$55:$O$70,2,0)," ")</f>
        <v>Servicios tecnológicos</v>
      </c>
      <c r="AC78" s="168" t="str">
        <f>CONCATENATE(AA78,"_",AB78)</f>
        <v>007_Servicios tecnológicos</v>
      </c>
      <c r="AD78" s="168" t="str">
        <f>CONCATENATE(Z78," ",AC78)</f>
        <v>11-Infraestructura Tecnológica   (Sistemas de Información y Tecnologia) 007_Servicios tecnológicos</v>
      </c>
      <c r="AE78" s="167" t="str">
        <f>CONCATENATE(U78,V78,W78,X78,AA78)</f>
        <v>O23011745992024020711007</v>
      </c>
      <c r="AF78" s="167" t="str">
        <f>IFERROR(VLOOKUP(AD78,TD!$J$70:$K$93,2,0)," ")</f>
        <v>PM/0131/0111/45990070207</v>
      </c>
      <c r="AG78" s="114" t="s">
        <v>385</v>
      </c>
      <c r="AH78" s="166" t="s">
        <v>193</v>
      </c>
      <c r="AI78" s="169" t="str">
        <f>CONCATENATE(PAA[[#This Row],[Id Interno]],"-",PAA[[#This Row],[tipo de Contrato (TH talento humano - B/S bienes y/o servicios)]],"-",S78,"-",T78,"-",PAA[[#This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79" spans="2:35" ht="56" x14ac:dyDescent="0.35">
      <c r="B79" s="23">
        <v>20260019</v>
      </c>
      <c r="C79" s="97" t="s">
        <v>561</v>
      </c>
      <c r="D79" s="23" t="s">
        <v>105</v>
      </c>
      <c r="E79" s="23" t="s">
        <v>363</v>
      </c>
      <c r="F79" s="163" t="s">
        <v>144</v>
      </c>
      <c r="G79" s="164" t="s">
        <v>374</v>
      </c>
      <c r="H79" s="165">
        <v>6</v>
      </c>
      <c r="I79" s="165">
        <v>0</v>
      </c>
      <c r="J79" s="122">
        <v>42000000</v>
      </c>
      <c r="K79" s="88" t="s">
        <v>398</v>
      </c>
      <c r="L79" s="163" t="s">
        <v>151</v>
      </c>
      <c r="M79" s="174" t="s">
        <v>401</v>
      </c>
      <c r="N79" s="23" t="s">
        <v>197</v>
      </c>
      <c r="O79" s="144" t="s">
        <v>886</v>
      </c>
      <c r="P79" s="163" t="s">
        <v>348</v>
      </c>
      <c r="Q79" s="53">
        <v>80111600</v>
      </c>
      <c r="R79" s="166" t="s">
        <v>203</v>
      </c>
      <c r="S79" s="166" t="str">
        <f>MID(PAA[[#This Row],[Meta Proyecto de Inversión]],1,4)</f>
        <v>8126</v>
      </c>
      <c r="T79" s="166" t="str">
        <f>MID(PAA[[#This Row],[Meta Proyecto de Inversión]],6,2)</f>
        <v>4-</v>
      </c>
      <c r="U79" s="167" t="str">
        <f>IFERROR(VLOOKUP(N79,TD!$B$54:$F$58,2,0)," ")</f>
        <v>O230117</v>
      </c>
      <c r="V79" s="167" t="str">
        <f>IFERROR(VLOOKUP(N79,TD!$B$54:$F$58,3,0)," ")</f>
        <v>4599</v>
      </c>
      <c r="W79" s="167">
        <f>IFERROR(VLOOKUP(N79,TD!$B$54:$F$58,4,0)," ")</f>
        <v>20240207</v>
      </c>
      <c r="X79" s="166" t="s">
        <v>168</v>
      </c>
      <c r="Y79" s="167" t="str">
        <f>IFERROR(VLOOKUP(X79,TD!$J$55:$K$68,2,0)," ")</f>
        <v>Infraestructura Tecnológica   (Sistemas de Información y Tecnologia)</v>
      </c>
      <c r="Z79" s="168" t="str">
        <f>CONCATENATE(X79,"-",Y79)</f>
        <v>11-Infraestructura Tecnológica   (Sistemas de Información y Tecnologia)</v>
      </c>
      <c r="AA79" s="166" t="s">
        <v>228</v>
      </c>
      <c r="AB79" s="167" t="str">
        <f>IFERROR(VLOOKUP(AA79,TD!$N$55:$O$70,2,0)," ")</f>
        <v>Servicios tecnológicos</v>
      </c>
      <c r="AC79" s="168" t="str">
        <f>CONCATENATE(AA79,"_",AB79)</f>
        <v>007_Servicios tecnológicos</v>
      </c>
      <c r="AD79" s="168" t="str">
        <f>CONCATENATE(Z79," ",AC79)</f>
        <v>11-Infraestructura Tecnológica   (Sistemas de Información y Tecnologia) 007_Servicios tecnológicos</v>
      </c>
      <c r="AE79" s="167" t="str">
        <f>CONCATENATE(U79,V79,W79,X79,AA79)</f>
        <v>O23011745992024020711007</v>
      </c>
      <c r="AF79" s="167" t="str">
        <f>IFERROR(VLOOKUP(AD79,TD!$J$70:$K$93,2,0)," ")</f>
        <v>PM/0131/0111/45990070207</v>
      </c>
      <c r="AG79" s="114" t="s">
        <v>385</v>
      </c>
      <c r="AH79" s="166" t="s">
        <v>193</v>
      </c>
      <c r="AI79" s="169" t="str">
        <f>CONCATENATE(PAA[[#This Row],[Id Interno]],"-",PAA[[#This Row],[tipo de Contrato (TH talento humano - B/S bienes y/o servicios)]],"-",S79,"-",T79,"-",PAA[[#This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80" spans="2:35" ht="84" x14ac:dyDescent="0.35">
      <c r="B80" s="23">
        <v>20260020</v>
      </c>
      <c r="C80" s="97" t="s">
        <v>566</v>
      </c>
      <c r="D80" s="23" t="s">
        <v>105</v>
      </c>
      <c r="E80" s="23" t="s">
        <v>363</v>
      </c>
      <c r="F80" s="163" t="s">
        <v>144</v>
      </c>
      <c r="G80" s="164" t="s">
        <v>374</v>
      </c>
      <c r="H80" s="165">
        <v>10</v>
      </c>
      <c r="I80" s="165">
        <v>0</v>
      </c>
      <c r="J80" s="122">
        <v>78000000</v>
      </c>
      <c r="K80" s="88" t="s">
        <v>398</v>
      </c>
      <c r="L80" s="163" t="s">
        <v>151</v>
      </c>
      <c r="M80" s="174" t="s">
        <v>401</v>
      </c>
      <c r="N80" s="23" t="s">
        <v>197</v>
      </c>
      <c r="O80" s="144" t="s">
        <v>886</v>
      </c>
      <c r="P80" s="163" t="s">
        <v>348</v>
      </c>
      <c r="Q80" s="53">
        <v>80111600</v>
      </c>
      <c r="R80" s="166" t="s">
        <v>204</v>
      </c>
      <c r="S80" s="166" t="str">
        <f>MID(PAA[[#This Row],[Meta Proyecto de Inversión]],1,4)</f>
        <v>8126</v>
      </c>
      <c r="T80" s="166" t="str">
        <f>MID(PAA[[#This Row],[Meta Proyecto de Inversión]],6,2)</f>
        <v>5-</v>
      </c>
      <c r="U80" s="167" t="str">
        <f>IFERROR(VLOOKUP(N80,TD!$B$54:$F$58,2,0)," ")</f>
        <v>O230117</v>
      </c>
      <c r="V80" s="167" t="str">
        <f>IFERROR(VLOOKUP(N80,TD!$B$54:$F$58,3,0)," ")</f>
        <v>4599</v>
      </c>
      <c r="W80" s="167">
        <f>IFERROR(VLOOKUP(N80,TD!$B$54:$F$58,4,0)," ")</f>
        <v>20240207</v>
      </c>
      <c r="X80" s="166" t="s">
        <v>168</v>
      </c>
      <c r="Y80" s="167" t="str">
        <f>IFERROR(VLOOKUP(X80,TD!$J$55:$K$68,2,0)," ")</f>
        <v>Infraestructura Tecnológica   (Sistemas de Información y Tecnologia)</v>
      </c>
      <c r="Z80" s="168" t="str">
        <f>CONCATENATE(X80,"-",Y80)</f>
        <v>11-Infraestructura Tecnológica   (Sistemas de Información y Tecnologia)</v>
      </c>
      <c r="AA80" s="166" t="s">
        <v>228</v>
      </c>
      <c r="AB80" s="167" t="str">
        <f>IFERROR(VLOOKUP(AA80,TD!$N$55:$O$70,2,0)," ")</f>
        <v>Servicios tecnológicos</v>
      </c>
      <c r="AC80" s="168" t="str">
        <f>CONCATENATE(AA80,"_",AB80)</f>
        <v>007_Servicios tecnológicos</v>
      </c>
      <c r="AD80" s="168" t="str">
        <f>CONCATENATE(Z80," ",AC80)</f>
        <v>11-Infraestructura Tecnológica   (Sistemas de Información y Tecnologia) 007_Servicios tecnológicos</v>
      </c>
      <c r="AE80" s="167" t="str">
        <f>CONCATENATE(U80,V80,W80,X80,AA80)</f>
        <v>O23011745992024020711007</v>
      </c>
      <c r="AF80" s="167" t="str">
        <f>IFERROR(VLOOKUP(AD80,TD!$J$70:$K$93,2,0)," ")</f>
        <v>PM/0131/0111/45990070207</v>
      </c>
      <c r="AG80" s="114" t="s">
        <v>385</v>
      </c>
      <c r="AH80" s="166" t="s">
        <v>193</v>
      </c>
      <c r="AI80" s="169" t="str">
        <f>CONCATENATE(PAA[[#This Row],[Id Interno]],"-",PAA[[#This Row],[tipo de Contrato (TH talento humano - B/S bienes y/o servicios)]],"-",S80,"-",T80,"-",PAA[[#This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81" spans="2:35" ht="84" x14ac:dyDescent="0.35">
      <c r="B81" s="23">
        <v>20260021</v>
      </c>
      <c r="C81" s="97" t="s">
        <v>567</v>
      </c>
      <c r="D81" s="23" t="s">
        <v>105</v>
      </c>
      <c r="E81" s="23" t="s">
        <v>363</v>
      </c>
      <c r="F81" s="163" t="s">
        <v>144</v>
      </c>
      <c r="G81" s="164" t="s">
        <v>374</v>
      </c>
      <c r="H81" s="165">
        <v>10</v>
      </c>
      <c r="I81" s="165">
        <v>0</v>
      </c>
      <c r="J81" s="122">
        <v>55000000</v>
      </c>
      <c r="K81" s="88" t="s">
        <v>398</v>
      </c>
      <c r="L81" s="163" t="s">
        <v>151</v>
      </c>
      <c r="M81" s="174" t="s">
        <v>401</v>
      </c>
      <c r="N81" s="23" t="s">
        <v>197</v>
      </c>
      <c r="O81" s="144" t="s">
        <v>886</v>
      </c>
      <c r="P81" s="163" t="s">
        <v>348</v>
      </c>
      <c r="Q81" s="53">
        <v>80111600</v>
      </c>
      <c r="R81" s="166" t="s">
        <v>206</v>
      </c>
      <c r="S81" s="166" t="str">
        <f>MID(PAA[[#This Row],[Meta Proyecto de Inversión]],1,4)</f>
        <v>8126</v>
      </c>
      <c r="T81" s="166" t="str">
        <f>MID(PAA[[#This Row],[Meta Proyecto de Inversión]],6,2)</f>
        <v>7-</v>
      </c>
      <c r="U81" s="167" t="str">
        <f>IFERROR(VLOOKUP(N81,TD!$B$54:$F$58,2,0)," ")</f>
        <v>O230117</v>
      </c>
      <c r="V81" s="167" t="str">
        <f>IFERROR(VLOOKUP(N81,TD!$B$54:$F$58,3,0)," ")</f>
        <v>4599</v>
      </c>
      <c r="W81" s="167">
        <f>IFERROR(VLOOKUP(N81,TD!$B$54:$F$58,4,0)," ")</f>
        <v>20240207</v>
      </c>
      <c r="X81" s="166" t="s">
        <v>168</v>
      </c>
      <c r="Y81" s="167" t="str">
        <f>IFERROR(VLOOKUP(X81,TD!$J$55:$K$68,2,0)," ")</f>
        <v>Infraestructura Tecnológica   (Sistemas de Información y Tecnologia)</v>
      </c>
      <c r="Z81" s="168" t="str">
        <f>CONCATENATE(X81,"-",Y81)</f>
        <v>11-Infraestructura Tecnológica   (Sistemas de Información y Tecnologia)</v>
      </c>
      <c r="AA81" s="166" t="s">
        <v>228</v>
      </c>
      <c r="AB81" s="167" t="str">
        <f>IFERROR(VLOOKUP(AA81,TD!$N$55:$O$70,2,0)," ")</f>
        <v>Servicios tecnológicos</v>
      </c>
      <c r="AC81" s="168" t="str">
        <f>CONCATENATE(AA81,"_",AB81)</f>
        <v>007_Servicios tecnológicos</v>
      </c>
      <c r="AD81" s="168" t="str">
        <f>CONCATENATE(Z81," ",AC81)</f>
        <v>11-Infraestructura Tecnológica   (Sistemas de Información y Tecnologia) 007_Servicios tecnológicos</v>
      </c>
      <c r="AE81" s="167" t="str">
        <f>CONCATENATE(U81,V81,W81,X81,AA81)</f>
        <v>O23011745992024020711007</v>
      </c>
      <c r="AF81" s="167" t="str">
        <f>IFERROR(VLOOKUP(AD81,TD!$J$70:$K$93,2,0)," ")</f>
        <v>PM/0131/0111/45990070207</v>
      </c>
      <c r="AG81" s="114" t="s">
        <v>385</v>
      </c>
      <c r="AH81" s="166" t="s">
        <v>193</v>
      </c>
      <c r="AI81" s="169" t="str">
        <f>CONCATENATE(PAA[[#This Row],[Id Interno]],"-",PAA[[#This Row],[tipo de Contrato (TH talento humano - B/S bienes y/o servicios)]],"-",S81,"-",T81,"-",PAA[[#This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82" spans="2:35" ht="70" x14ac:dyDescent="0.35">
      <c r="B82" s="23">
        <v>20260022</v>
      </c>
      <c r="C82" s="97" t="s">
        <v>568</v>
      </c>
      <c r="D82" s="23" t="s">
        <v>105</v>
      </c>
      <c r="E82" s="23" t="s">
        <v>363</v>
      </c>
      <c r="F82" s="163" t="s">
        <v>144</v>
      </c>
      <c r="G82" s="164" t="s">
        <v>374</v>
      </c>
      <c r="H82" s="165">
        <v>6</v>
      </c>
      <c r="I82" s="165">
        <v>0</v>
      </c>
      <c r="J82" s="122">
        <v>30000000</v>
      </c>
      <c r="K82" s="88" t="s">
        <v>398</v>
      </c>
      <c r="L82" s="163" t="s">
        <v>151</v>
      </c>
      <c r="M82" s="174" t="s">
        <v>401</v>
      </c>
      <c r="N82" s="23" t="s">
        <v>197</v>
      </c>
      <c r="O82" s="144" t="s">
        <v>886</v>
      </c>
      <c r="P82" s="163" t="s">
        <v>348</v>
      </c>
      <c r="Q82" s="53">
        <v>80111600</v>
      </c>
      <c r="R82" s="166" t="s">
        <v>203</v>
      </c>
      <c r="S82" s="166" t="str">
        <f>MID(PAA[[#This Row],[Meta Proyecto de Inversión]],1,4)</f>
        <v>8126</v>
      </c>
      <c r="T82" s="166" t="str">
        <f>MID(PAA[[#This Row],[Meta Proyecto de Inversión]],6,2)</f>
        <v>4-</v>
      </c>
      <c r="U82" s="167" t="str">
        <f>IFERROR(VLOOKUP(N82,TD!$B$54:$F$58,2,0)," ")</f>
        <v>O230117</v>
      </c>
      <c r="V82" s="167" t="str">
        <f>IFERROR(VLOOKUP(N82,TD!$B$54:$F$58,3,0)," ")</f>
        <v>4599</v>
      </c>
      <c r="W82" s="167">
        <f>IFERROR(VLOOKUP(N82,TD!$B$54:$F$58,4,0)," ")</f>
        <v>20240207</v>
      </c>
      <c r="X82" s="166" t="s">
        <v>168</v>
      </c>
      <c r="Y82" s="167" t="str">
        <f>IFERROR(VLOOKUP(X82,TD!$J$55:$K$68,2,0)," ")</f>
        <v>Infraestructura Tecnológica   (Sistemas de Información y Tecnologia)</v>
      </c>
      <c r="Z82" s="168" t="str">
        <f>CONCATENATE(X82,"-",Y82)</f>
        <v>11-Infraestructura Tecnológica   (Sistemas de Información y Tecnologia)</v>
      </c>
      <c r="AA82" s="166" t="s">
        <v>228</v>
      </c>
      <c r="AB82" s="167" t="str">
        <f>IFERROR(VLOOKUP(AA82,TD!$N$55:$O$70,2,0)," ")</f>
        <v>Servicios tecnológicos</v>
      </c>
      <c r="AC82" s="168" t="str">
        <f>CONCATENATE(AA82,"_",AB82)</f>
        <v>007_Servicios tecnológicos</v>
      </c>
      <c r="AD82" s="168" t="str">
        <f>CONCATENATE(Z82," ",AC82)</f>
        <v>11-Infraestructura Tecnológica   (Sistemas de Información y Tecnologia) 007_Servicios tecnológicos</v>
      </c>
      <c r="AE82" s="167" t="str">
        <f>CONCATENATE(U82,V82,W82,X82,AA82)</f>
        <v>O23011745992024020711007</v>
      </c>
      <c r="AF82" s="167" t="str">
        <f>IFERROR(VLOOKUP(AD82,TD!$J$70:$K$93,2,0)," ")</f>
        <v>PM/0131/0111/45990070207</v>
      </c>
      <c r="AG82" s="114" t="s">
        <v>385</v>
      </c>
      <c r="AH82" s="166" t="s">
        <v>193</v>
      </c>
      <c r="AI82" s="169" t="str">
        <f>CONCATENATE(PAA[[#This Row],[Id Interno]],"-",PAA[[#This Row],[tipo de Contrato (TH talento humano - B/S bienes y/o servicios)]],"-",S82,"-",T82,"-",PAA[[#This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83" spans="2:35" ht="70" x14ac:dyDescent="0.35">
      <c r="B83" s="23">
        <v>20260023</v>
      </c>
      <c r="C83" s="97" t="s">
        <v>569</v>
      </c>
      <c r="D83" s="23" t="s">
        <v>105</v>
      </c>
      <c r="E83" s="23" t="s">
        <v>363</v>
      </c>
      <c r="F83" s="163" t="s">
        <v>145</v>
      </c>
      <c r="G83" s="164" t="s">
        <v>373</v>
      </c>
      <c r="H83" s="165">
        <v>10</v>
      </c>
      <c r="I83" s="165">
        <v>0</v>
      </c>
      <c r="J83" s="122">
        <v>40000000</v>
      </c>
      <c r="K83" s="88" t="s">
        <v>398</v>
      </c>
      <c r="L83" s="163" t="s">
        <v>151</v>
      </c>
      <c r="M83" s="166" t="s">
        <v>401</v>
      </c>
      <c r="N83" s="23" t="s">
        <v>197</v>
      </c>
      <c r="O83" s="144" t="s">
        <v>886</v>
      </c>
      <c r="P83" s="163" t="s">
        <v>348</v>
      </c>
      <c r="Q83" s="53">
        <v>80111600</v>
      </c>
      <c r="R83" s="166" t="s">
        <v>205</v>
      </c>
      <c r="S83" s="166" t="str">
        <f>MID(PAA[[#This Row],[Meta Proyecto de Inversión]],1,4)</f>
        <v>8126</v>
      </c>
      <c r="T83" s="166" t="str">
        <f>MID(PAA[[#This Row],[Meta Proyecto de Inversión]],6,2)</f>
        <v>6-</v>
      </c>
      <c r="U83" s="167" t="str">
        <f>IFERROR(VLOOKUP(N83,TD!$B$54:$F$58,2,0)," ")</f>
        <v>O230117</v>
      </c>
      <c r="V83" s="167" t="str">
        <f>IFERROR(VLOOKUP(N83,TD!$B$54:$F$58,3,0)," ")</f>
        <v>4599</v>
      </c>
      <c r="W83" s="167">
        <f>IFERROR(VLOOKUP(N83,TD!$B$54:$F$58,4,0)," ")</f>
        <v>20240207</v>
      </c>
      <c r="X83" s="166" t="s">
        <v>168</v>
      </c>
      <c r="Y83" s="167" t="str">
        <f>IFERROR(VLOOKUP(X83,TD!$J$55:$K$68,2,0)," ")</f>
        <v>Infraestructura Tecnológica   (Sistemas de Información y Tecnologia)</v>
      </c>
      <c r="Z83" s="168" t="str">
        <f>CONCATENATE(X83,"-",Y83)</f>
        <v>11-Infraestructura Tecnológica   (Sistemas de Información y Tecnologia)</v>
      </c>
      <c r="AA83" s="166" t="s">
        <v>228</v>
      </c>
      <c r="AB83" s="167" t="str">
        <f>IFERROR(VLOOKUP(AA83,TD!$N$55:$O$70,2,0)," ")</f>
        <v>Servicios tecnológicos</v>
      </c>
      <c r="AC83" s="168" t="str">
        <f>CONCATENATE(AA83,"_",AB83)</f>
        <v>007_Servicios tecnológicos</v>
      </c>
      <c r="AD83" s="168" t="str">
        <f>CONCATENATE(Z83," ",AC83)</f>
        <v>11-Infraestructura Tecnológica   (Sistemas de Información y Tecnologia) 007_Servicios tecnológicos</v>
      </c>
      <c r="AE83" s="167" t="str">
        <f>CONCATENATE(U83,V83,W83,X83,AA83)</f>
        <v>O23011745992024020711007</v>
      </c>
      <c r="AF83" s="167" t="str">
        <f>IFERROR(VLOOKUP(AD83,TD!$J$70:$K$93,2,0)," ")</f>
        <v>PM/0131/0111/45990070207</v>
      </c>
      <c r="AG83" s="114" t="s">
        <v>385</v>
      </c>
      <c r="AH83" s="166" t="s">
        <v>193</v>
      </c>
      <c r="AI83" s="169" t="str">
        <f>CONCATENATE(PAA[[#This Row],[Id Interno]],"-",PAA[[#This Row],[tipo de Contrato (TH talento humano - B/S bienes y/o servicios)]],"-",S83,"-",T83,"-",PAA[[#This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84" spans="2:35" ht="56" x14ac:dyDescent="0.35">
      <c r="B84" s="23">
        <v>20260024</v>
      </c>
      <c r="C84" s="23" t="s">
        <v>570</v>
      </c>
      <c r="D84" s="23" t="s">
        <v>105</v>
      </c>
      <c r="E84" s="23" t="s">
        <v>363</v>
      </c>
      <c r="F84" s="163" t="s">
        <v>144</v>
      </c>
      <c r="G84" s="163" t="s">
        <v>374</v>
      </c>
      <c r="H84" s="165">
        <v>6</v>
      </c>
      <c r="I84" s="165">
        <v>0</v>
      </c>
      <c r="J84" s="122">
        <v>30966000</v>
      </c>
      <c r="K84" s="88" t="s">
        <v>398</v>
      </c>
      <c r="L84" s="163" t="s">
        <v>151</v>
      </c>
      <c r="M84" s="166" t="s">
        <v>401</v>
      </c>
      <c r="N84" s="23" t="s">
        <v>197</v>
      </c>
      <c r="O84" s="145" t="s">
        <v>886</v>
      </c>
      <c r="P84" s="163" t="s">
        <v>348</v>
      </c>
      <c r="Q84" s="53">
        <v>80111600</v>
      </c>
      <c r="R84" s="166" t="s">
        <v>203</v>
      </c>
      <c r="S84" s="166" t="str">
        <f>MID(PAA[[#This Row],[Meta Proyecto de Inversión]],1,4)</f>
        <v>8126</v>
      </c>
      <c r="T84" s="166" t="str">
        <f>MID(PAA[[#This Row],[Meta Proyecto de Inversión]],6,2)</f>
        <v>4-</v>
      </c>
      <c r="U84" s="167" t="str">
        <f>IFERROR(VLOOKUP(N84,TD!$B$54:$F$58,2,0)," ")</f>
        <v>O230117</v>
      </c>
      <c r="V84" s="167" t="str">
        <f>IFERROR(VLOOKUP(N84,TD!$B$54:$F$58,3,0)," ")</f>
        <v>4599</v>
      </c>
      <c r="W84" s="167">
        <f>IFERROR(VLOOKUP(N84,TD!$B$54:$F$58,4,0)," ")</f>
        <v>20240207</v>
      </c>
      <c r="X84" s="166" t="s">
        <v>168</v>
      </c>
      <c r="Y84" s="167" t="str">
        <f>IFERROR(VLOOKUP(X84,TD!$J$55:$K$68,2,0)," ")</f>
        <v>Infraestructura Tecnológica   (Sistemas de Información y Tecnologia)</v>
      </c>
      <c r="Z84" s="168" t="str">
        <f>CONCATENATE(X84,"-",Y84)</f>
        <v>11-Infraestructura Tecnológica   (Sistemas de Información y Tecnologia)</v>
      </c>
      <c r="AA84" s="166" t="s">
        <v>228</v>
      </c>
      <c r="AB84" s="167" t="str">
        <f>IFERROR(VLOOKUP(AA84,TD!$N$55:$O$70,2,0)," ")</f>
        <v>Servicios tecnológicos</v>
      </c>
      <c r="AC84" s="168" t="str">
        <f>CONCATENATE(AA84,"_",AB84)</f>
        <v>007_Servicios tecnológicos</v>
      </c>
      <c r="AD84" s="168" t="str">
        <f>CONCATENATE(Z84," ",AC84)</f>
        <v>11-Infraestructura Tecnológica   (Sistemas de Información y Tecnologia) 007_Servicios tecnológicos</v>
      </c>
      <c r="AE84" s="167" t="str">
        <f>CONCATENATE(U84,V84,W84,X84,AA84)</f>
        <v>O23011745992024020711007</v>
      </c>
      <c r="AF84" s="167" t="str">
        <f>IFERROR(VLOOKUP(AD84,TD!$J$70:$K$93,2,0)," ")</f>
        <v>PM/0131/0111/45990070207</v>
      </c>
      <c r="AG84" s="122" t="s">
        <v>385</v>
      </c>
      <c r="AH84" s="166" t="s">
        <v>193</v>
      </c>
      <c r="AI84" s="169" t="str">
        <f>CONCATENATE(PAA[[#This Row],[Id Interno]],"-",PAA[[#This Row],[tipo de Contrato (TH talento humano - B/S bienes y/o servicios)]],"-",S84,"-",T84,"-",PAA[[#This Row],[Objeto de la contratación]])</f>
        <v>20260024-TH-8126-4--Prestar los servicios profesionales en la implementación, de las herramientas misionales, creadas como soporte a los procesos y procedimientos de la U.A.E. Cuerpo Oficial de Bomberos de Bogotá.</v>
      </c>
    </row>
    <row r="85" spans="2:35" ht="70" x14ac:dyDescent="0.35">
      <c r="B85" s="23">
        <v>20260025</v>
      </c>
      <c r="C85" s="97" t="s">
        <v>555</v>
      </c>
      <c r="D85" s="23" t="s">
        <v>105</v>
      </c>
      <c r="E85" s="23" t="s">
        <v>363</v>
      </c>
      <c r="F85" s="163" t="s">
        <v>144</v>
      </c>
      <c r="G85" s="164" t="s">
        <v>373</v>
      </c>
      <c r="H85" s="165">
        <v>10</v>
      </c>
      <c r="I85" s="165">
        <v>0</v>
      </c>
      <c r="J85" s="122">
        <v>78000000</v>
      </c>
      <c r="K85" s="88" t="s">
        <v>398</v>
      </c>
      <c r="L85" s="163" t="s">
        <v>151</v>
      </c>
      <c r="M85" s="166" t="s">
        <v>401</v>
      </c>
      <c r="N85" s="23" t="s">
        <v>197</v>
      </c>
      <c r="O85" s="144" t="s">
        <v>886</v>
      </c>
      <c r="P85" s="163" t="s">
        <v>348</v>
      </c>
      <c r="Q85" s="53">
        <v>80111600</v>
      </c>
      <c r="R85" s="166" t="s">
        <v>204</v>
      </c>
      <c r="S85" s="166" t="str">
        <f>MID(PAA[[#This Row],[Meta Proyecto de Inversión]],1,4)</f>
        <v>8126</v>
      </c>
      <c r="T85" s="166" t="str">
        <f>MID(PAA[[#This Row],[Meta Proyecto de Inversión]],6,2)</f>
        <v>5-</v>
      </c>
      <c r="U85" s="167" t="str">
        <f>IFERROR(VLOOKUP(N85,TD!$B$54:$F$58,2,0)," ")</f>
        <v>O230117</v>
      </c>
      <c r="V85" s="167" t="str">
        <f>IFERROR(VLOOKUP(N85,TD!$B$54:$F$58,3,0)," ")</f>
        <v>4599</v>
      </c>
      <c r="W85" s="167">
        <f>IFERROR(VLOOKUP(N85,TD!$B$54:$F$58,4,0)," ")</f>
        <v>20240207</v>
      </c>
      <c r="X85" s="166" t="s">
        <v>168</v>
      </c>
      <c r="Y85" s="167" t="str">
        <f>IFERROR(VLOOKUP(X85,TD!$J$55:$K$68,2,0)," ")</f>
        <v>Infraestructura Tecnológica   (Sistemas de Información y Tecnologia)</v>
      </c>
      <c r="Z85" s="168" t="str">
        <f>CONCATENATE(X85,"-",Y85)</f>
        <v>11-Infraestructura Tecnológica   (Sistemas de Información y Tecnologia)</v>
      </c>
      <c r="AA85" s="166" t="s">
        <v>228</v>
      </c>
      <c r="AB85" s="167" t="str">
        <f>IFERROR(VLOOKUP(AA85,TD!$N$55:$O$70,2,0)," ")</f>
        <v>Servicios tecnológicos</v>
      </c>
      <c r="AC85" s="168" t="str">
        <f>CONCATENATE(AA85,"_",AB85)</f>
        <v>007_Servicios tecnológicos</v>
      </c>
      <c r="AD85" s="168" t="str">
        <f>CONCATENATE(Z85," ",AC85)</f>
        <v>11-Infraestructura Tecnológica   (Sistemas de Información y Tecnologia) 007_Servicios tecnológicos</v>
      </c>
      <c r="AE85" s="167" t="str">
        <f>CONCATENATE(U85,V85,W85,X85,AA85)</f>
        <v>O23011745992024020711007</v>
      </c>
      <c r="AF85" s="167" t="str">
        <f>IFERROR(VLOOKUP(AD85,TD!$J$70:$K$93,2,0)," ")</f>
        <v>PM/0131/0111/45990070207</v>
      </c>
      <c r="AG85" s="114" t="s">
        <v>385</v>
      </c>
      <c r="AH85" s="166" t="s">
        <v>193</v>
      </c>
      <c r="AI85" s="169" t="str">
        <f>CONCATENATE(PAA[[#This Row],[Id Interno]],"-",PAA[[#This Row],[tipo de Contrato (TH talento humano - B/S bienes y/o servicios)]],"-",S85,"-",T85,"-",PAA[[#This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86" spans="2:35" ht="56" x14ac:dyDescent="0.35">
      <c r="B86" s="23">
        <v>20260026</v>
      </c>
      <c r="C86" s="97" t="s">
        <v>571</v>
      </c>
      <c r="D86" s="23" t="s">
        <v>105</v>
      </c>
      <c r="E86" s="23" t="s">
        <v>363</v>
      </c>
      <c r="F86" s="163" t="s">
        <v>144</v>
      </c>
      <c r="G86" s="164" t="s">
        <v>373</v>
      </c>
      <c r="H86" s="165">
        <v>10</v>
      </c>
      <c r="I86" s="165">
        <v>0</v>
      </c>
      <c r="J86" s="122">
        <v>74500000</v>
      </c>
      <c r="K86" s="88" t="s">
        <v>398</v>
      </c>
      <c r="L86" s="163" t="s">
        <v>151</v>
      </c>
      <c r="M86" s="166" t="s">
        <v>401</v>
      </c>
      <c r="N86" s="23" t="s">
        <v>197</v>
      </c>
      <c r="O86" s="144" t="s">
        <v>886</v>
      </c>
      <c r="P86" s="163" t="s">
        <v>348</v>
      </c>
      <c r="Q86" s="53">
        <v>80111600</v>
      </c>
      <c r="R86" s="166" t="s">
        <v>204</v>
      </c>
      <c r="S86" s="166" t="str">
        <f>MID(PAA[[#This Row],[Meta Proyecto de Inversión]],1,4)</f>
        <v>8126</v>
      </c>
      <c r="T86" s="166" t="str">
        <f>MID(PAA[[#This Row],[Meta Proyecto de Inversión]],6,2)</f>
        <v>5-</v>
      </c>
      <c r="U86" s="167" t="str">
        <f>IFERROR(VLOOKUP(N86,TD!$B$54:$F$58,2,0)," ")</f>
        <v>O230117</v>
      </c>
      <c r="V86" s="167" t="str">
        <f>IFERROR(VLOOKUP(N86,TD!$B$54:$F$58,3,0)," ")</f>
        <v>4599</v>
      </c>
      <c r="W86" s="167">
        <f>IFERROR(VLOOKUP(N86,TD!$B$54:$F$58,4,0)," ")</f>
        <v>20240207</v>
      </c>
      <c r="X86" s="166" t="s">
        <v>168</v>
      </c>
      <c r="Y86" s="167" t="str">
        <f>IFERROR(VLOOKUP(X86,TD!$J$55:$K$68,2,0)," ")</f>
        <v>Infraestructura Tecnológica   (Sistemas de Información y Tecnologia)</v>
      </c>
      <c r="Z86" s="168" t="str">
        <f>CONCATENATE(X86,"-",Y86)</f>
        <v>11-Infraestructura Tecnológica   (Sistemas de Información y Tecnologia)</v>
      </c>
      <c r="AA86" s="166" t="s">
        <v>228</v>
      </c>
      <c r="AB86" s="167" t="str">
        <f>IFERROR(VLOOKUP(AA86,TD!$N$55:$O$70,2,0)," ")</f>
        <v>Servicios tecnológicos</v>
      </c>
      <c r="AC86" s="168" t="str">
        <f>CONCATENATE(AA86,"_",AB86)</f>
        <v>007_Servicios tecnológicos</v>
      </c>
      <c r="AD86" s="168" t="str">
        <f>CONCATENATE(Z86," ",AC86)</f>
        <v>11-Infraestructura Tecnológica   (Sistemas de Información y Tecnologia) 007_Servicios tecnológicos</v>
      </c>
      <c r="AE86" s="167" t="str">
        <f>CONCATENATE(U86,V86,W86,X86,AA86)</f>
        <v>O23011745992024020711007</v>
      </c>
      <c r="AF86" s="167" t="str">
        <f>IFERROR(VLOOKUP(AD86,TD!$J$70:$K$93,2,0)," ")</f>
        <v>PM/0131/0111/45990070207</v>
      </c>
      <c r="AG86" s="114" t="s">
        <v>385</v>
      </c>
      <c r="AH86" s="166" t="s">
        <v>193</v>
      </c>
      <c r="AI86" s="169" t="str">
        <f>CONCATENATE(PAA[[#This Row],[Id Interno]],"-",PAA[[#This Row],[tipo de Contrato (TH talento humano - B/S bienes y/o servicios)]],"-",S86,"-",T86,"-",PAA[[#This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87" spans="2:35" ht="70" x14ac:dyDescent="0.35">
      <c r="B87" s="23">
        <v>20260027</v>
      </c>
      <c r="C87" s="97" t="s">
        <v>1065</v>
      </c>
      <c r="D87" s="23" t="s">
        <v>105</v>
      </c>
      <c r="E87" s="23" t="s">
        <v>363</v>
      </c>
      <c r="F87" s="163" t="s">
        <v>144</v>
      </c>
      <c r="G87" s="164" t="s">
        <v>384</v>
      </c>
      <c r="H87" s="165">
        <v>0</v>
      </c>
      <c r="I87" s="165">
        <v>15</v>
      </c>
      <c r="J87" s="122">
        <v>92400000</v>
      </c>
      <c r="K87" s="88" t="s">
        <v>398</v>
      </c>
      <c r="L87" s="163" t="s">
        <v>151</v>
      </c>
      <c r="M87" s="166" t="s">
        <v>401</v>
      </c>
      <c r="N87" s="23" t="s">
        <v>197</v>
      </c>
      <c r="O87" s="144" t="s">
        <v>886</v>
      </c>
      <c r="P87" s="163" t="s">
        <v>348</v>
      </c>
      <c r="Q87" s="53">
        <v>80111600</v>
      </c>
      <c r="R87" s="166" t="s">
        <v>204</v>
      </c>
      <c r="S87" s="166" t="str">
        <f>MID(PAA[[#This Row],[Meta Proyecto de Inversión]],1,4)</f>
        <v>8126</v>
      </c>
      <c r="T87" s="166" t="str">
        <f>MID(PAA[[#This Row],[Meta Proyecto de Inversión]],6,2)</f>
        <v>5-</v>
      </c>
      <c r="U87" s="167" t="str">
        <f>IFERROR(VLOOKUP(N87,TD!$B$54:$F$58,2,0)," ")</f>
        <v>O230117</v>
      </c>
      <c r="V87" s="167" t="str">
        <f>IFERROR(VLOOKUP(N87,TD!$B$54:$F$58,3,0)," ")</f>
        <v>4599</v>
      </c>
      <c r="W87" s="167">
        <f>IFERROR(VLOOKUP(N87,TD!$B$54:$F$58,4,0)," ")</f>
        <v>20240207</v>
      </c>
      <c r="X87" s="166" t="s">
        <v>168</v>
      </c>
      <c r="Y87" s="167" t="str">
        <f>IFERROR(VLOOKUP(X87,TD!$J$55:$K$68,2,0)," ")</f>
        <v>Infraestructura Tecnológica   (Sistemas de Información y Tecnologia)</v>
      </c>
      <c r="Z87" s="168" t="str">
        <f>CONCATENATE(X87,"-",Y87)</f>
        <v>11-Infraestructura Tecnológica   (Sistemas de Información y Tecnologia)</v>
      </c>
      <c r="AA87" s="166" t="s">
        <v>228</v>
      </c>
      <c r="AB87" s="167" t="str">
        <f>IFERROR(VLOOKUP(AA87,TD!$N$55:$O$70,2,0)," ")</f>
        <v>Servicios tecnológicos</v>
      </c>
      <c r="AC87" s="168" t="str">
        <f>CONCATENATE(AA87,"_",AB87)</f>
        <v>007_Servicios tecnológicos</v>
      </c>
      <c r="AD87" s="168" t="str">
        <f>CONCATENATE(Z87," ",AC87)</f>
        <v>11-Infraestructura Tecnológica   (Sistemas de Información y Tecnologia) 007_Servicios tecnológicos</v>
      </c>
      <c r="AE87" s="167" t="str">
        <f>CONCATENATE(U87,V87,W87,X87,AA87)</f>
        <v>O23011745992024020711007</v>
      </c>
      <c r="AF87" s="167" t="str">
        <f>IFERROR(VLOOKUP(AD87,TD!$J$70:$K$93,2,0)," ")</f>
        <v>PM/0131/0111/45990070207</v>
      </c>
      <c r="AG87" s="114" t="s">
        <v>385</v>
      </c>
      <c r="AH87" s="166" t="s">
        <v>194</v>
      </c>
      <c r="AI87" s="169" t="str">
        <f>CONCATENATE(PAA[[#This Row],[Id Interno]],"-",PAA[[#This Row],[tipo de Contrato (TH talento humano - B/S bienes y/o servicios)]],"-",S87,"-",T87,"-",PAA[[#This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88" spans="2:35" ht="84" x14ac:dyDescent="0.35">
      <c r="B88" s="23">
        <v>20260028</v>
      </c>
      <c r="C88" s="97" t="s">
        <v>555</v>
      </c>
      <c r="D88" s="23" t="s">
        <v>105</v>
      </c>
      <c r="E88" s="23" t="s">
        <v>363</v>
      </c>
      <c r="F88" s="163" t="s">
        <v>144</v>
      </c>
      <c r="G88" s="164" t="s">
        <v>373</v>
      </c>
      <c r="H88" s="165">
        <v>11</v>
      </c>
      <c r="I88" s="165">
        <v>0</v>
      </c>
      <c r="J88" s="122">
        <v>85800000</v>
      </c>
      <c r="K88" s="88" t="s">
        <v>398</v>
      </c>
      <c r="L88" s="163" t="s">
        <v>151</v>
      </c>
      <c r="M88" s="166" t="s">
        <v>401</v>
      </c>
      <c r="N88" s="23" t="s">
        <v>197</v>
      </c>
      <c r="O88" s="144" t="s">
        <v>886</v>
      </c>
      <c r="P88" s="163" t="s">
        <v>348</v>
      </c>
      <c r="Q88" s="53">
        <v>80111600</v>
      </c>
      <c r="R88" s="166" t="s">
        <v>204</v>
      </c>
      <c r="S88" s="166" t="str">
        <f>MID(PAA[[#This Row],[Meta Proyecto de Inversión]],1,4)</f>
        <v>8126</v>
      </c>
      <c r="T88" s="166" t="str">
        <f>MID(PAA[[#This Row],[Meta Proyecto de Inversión]],6,2)</f>
        <v>5-</v>
      </c>
      <c r="U88" s="167" t="str">
        <f>IFERROR(VLOOKUP(N88,TD!$B$54:$F$58,2,0)," ")</f>
        <v>O230117</v>
      </c>
      <c r="V88" s="167" t="str">
        <f>IFERROR(VLOOKUP(N88,TD!$B$54:$F$58,3,0)," ")</f>
        <v>4599</v>
      </c>
      <c r="W88" s="167">
        <f>IFERROR(VLOOKUP(N88,TD!$B$54:$F$58,4,0)," ")</f>
        <v>20240207</v>
      </c>
      <c r="X88" s="166" t="s">
        <v>168</v>
      </c>
      <c r="Y88" s="167" t="str">
        <f>IFERROR(VLOOKUP(X88,TD!$J$55:$K$68,2,0)," ")</f>
        <v>Infraestructura Tecnológica   (Sistemas de Información y Tecnologia)</v>
      </c>
      <c r="Z88" s="168" t="str">
        <f>CONCATENATE(X88,"-",Y88)</f>
        <v>11-Infraestructura Tecnológica   (Sistemas de Información y Tecnologia)</v>
      </c>
      <c r="AA88" s="166" t="s">
        <v>228</v>
      </c>
      <c r="AB88" s="167" t="str">
        <f>IFERROR(VLOOKUP(AA88,TD!$N$55:$O$70,2,0)," ")</f>
        <v>Servicios tecnológicos</v>
      </c>
      <c r="AC88" s="168" t="str">
        <f>CONCATENATE(AA88,"_",AB88)</f>
        <v>007_Servicios tecnológicos</v>
      </c>
      <c r="AD88" s="168" t="str">
        <f>CONCATENATE(Z88," ",AC88)</f>
        <v>11-Infraestructura Tecnológica   (Sistemas de Información y Tecnologia) 007_Servicios tecnológicos</v>
      </c>
      <c r="AE88" s="167" t="str">
        <f>CONCATENATE(U88,V88,W88,X88,AA88)</f>
        <v>O23011745992024020711007</v>
      </c>
      <c r="AF88" s="167" t="str">
        <f>IFERROR(VLOOKUP(AD88,TD!$J$70:$K$93,2,0)," ")</f>
        <v>PM/0131/0111/45990070207</v>
      </c>
      <c r="AG88" s="114" t="s">
        <v>385</v>
      </c>
      <c r="AH88" s="166" t="s">
        <v>193</v>
      </c>
      <c r="AI88" s="169" t="str">
        <f>CONCATENATE(PAA[[#This Row],[Id Interno]],"-",PAA[[#This Row],[tipo de Contrato (TH talento humano - B/S bienes y/o servicios)]],"-",S88,"-",T88,"-",PAA[[#This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89" spans="2:35" ht="84" x14ac:dyDescent="0.35">
      <c r="B89" s="23">
        <v>20260029</v>
      </c>
      <c r="C89" s="97" t="s">
        <v>572</v>
      </c>
      <c r="D89" s="23" t="s">
        <v>105</v>
      </c>
      <c r="E89" s="23" t="s">
        <v>363</v>
      </c>
      <c r="F89" s="163" t="s">
        <v>144</v>
      </c>
      <c r="G89" s="164" t="s">
        <v>373</v>
      </c>
      <c r="H89" s="165">
        <v>10</v>
      </c>
      <c r="I89" s="165">
        <v>0</v>
      </c>
      <c r="J89" s="122">
        <v>51610000</v>
      </c>
      <c r="K89" s="88" t="s">
        <v>398</v>
      </c>
      <c r="L89" s="163" t="s">
        <v>151</v>
      </c>
      <c r="M89" s="166" t="s">
        <v>401</v>
      </c>
      <c r="N89" s="23" t="s">
        <v>197</v>
      </c>
      <c r="O89" s="144" t="s">
        <v>886</v>
      </c>
      <c r="P89" s="163" t="s">
        <v>348</v>
      </c>
      <c r="Q89" s="53">
        <v>80111600</v>
      </c>
      <c r="R89" s="166" t="s">
        <v>203</v>
      </c>
      <c r="S89" s="166" t="str">
        <f>MID(PAA[[#This Row],[Meta Proyecto de Inversión]],1,4)</f>
        <v>8126</v>
      </c>
      <c r="T89" s="166" t="str">
        <f>MID(PAA[[#This Row],[Meta Proyecto de Inversión]],6,2)</f>
        <v>4-</v>
      </c>
      <c r="U89" s="167" t="str">
        <f>IFERROR(VLOOKUP(N89,TD!$B$54:$F$58,2,0)," ")</f>
        <v>O230117</v>
      </c>
      <c r="V89" s="167" t="str">
        <f>IFERROR(VLOOKUP(N89,TD!$B$54:$F$58,3,0)," ")</f>
        <v>4599</v>
      </c>
      <c r="W89" s="167">
        <f>IFERROR(VLOOKUP(N89,TD!$B$54:$F$58,4,0)," ")</f>
        <v>20240207</v>
      </c>
      <c r="X89" s="166" t="s">
        <v>168</v>
      </c>
      <c r="Y89" s="167" t="str">
        <f>IFERROR(VLOOKUP(X89,TD!$J$55:$K$68,2,0)," ")</f>
        <v>Infraestructura Tecnológica   (Sistemas de Información y Tecnologia)</v>
      </c>
      <c r="Z89" s="168" t="str">
        <f>CONCATENATE(X89,"-",Y89)</f>
        <v>11-Infraestructura Tecnológica   (Sistemas de Información y Tecnologia)</v>
      </c>
      <c r="AA89" s="166" t="s">
        <v>228</v>
      </c>
      <c r="AB89" s="167" t="str">
        <f>IFERROR(VLOOKUP(AA89,TD!$N$55:$O$70,2,0)," ")</f>
        <v>Servicios tecnológicos</v>
      </c>
      <c r="AC89" s="168" t="str">
        <f>CONCATENATE(AA89,"_",AB89)</f>
        <v>007_Servicios tecnológicos</v>
      </c>
      <c r="AD89" s="168" t="str">
        <f>CONCATENATE(Z89," ",AC89)</f>
        <v>11-Infraestructura Tecnológica   (Sistemas de Información y Tecnologia) 007_Servicios tecnológicos</v>
      </c>
      <c r="AE89" s="167" t="str">
        <f>CONCATENATE(U89,V89,W89,X89,AA89)</f>
        <v>O23011745992024020711007</v>
      </c>
      <c r="AF89" s="167" t="str">
        <f>IFERROR(VLOOKUP(AD89,TD!$J$70:$K$93,2,0)," ")</f>
        <v>PM/0131/0111/45990070207</v>
      </c>
      <c r="AG89" s="114" t="s">
        <v>385</v>
      </c>
      <c r="AH89" s="166" t="s">
        <v>193</v>
      </c>
      <c r="AI89" s="169" t="str">
        <f>CONCATENATE(PAA[[#This Row],[Id Interno]],"-",PAA[[#This Row],[tipo de Contrato (TH talento humano - B/S bienes y/o servicios)]],"-",S89,"-",T89,"-",PAA[[#This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90" spans="2:35" ht="70" x14ac:dyDescent="0.35">
      <c r="B90" s="23">
        <v>20260030</v>
      </c>
      <c r="C90" s="97" t="s">
        <v>573</v>
      </c>
      <c r="D90" s="23" t="s">
        <v>105</v>
      </c>
      <c r="E90" s="23" t="s">
        <v>363</v>
      </c>
      <c r="F90" s="163" t="s">
        <v>144</v>
      </c>
      <c r="G90" s="164" t="s">
        <v>373</v>
      </c>
      <c r="H90" s="165">
        <v>10</v>
      </c>
      <c r="I90" s="165">
        <v>0</v>
      </c>
      <c r="J90" s="122">
        <v>55000000</v>
      </c>
      <c r="K90" s="88" t="s">
        <v>398</v>
      </c>
      <c r="L90" s="163" t="s">
        <v>151</v>
      </c>
      <c r="M90" s="166" t="s">
        <v>401</v>
      </c>
      <c r="N90" s="23" t="s">
        <v>197</v>
      </c>
      <c r="O90" s="144" t="s">
        <v>886</v>
      </c>
      <c r="P90" s="163" t="s">
        <v>348</v>
      </c>
      <c r="Q90" s="53">
        <v>80111600</v>
      </c>
      <c r="R90" s="166" t="s">
        <v>205</v>
      </c>
      <c r="S90" s="166" t="str">
        <f>MID(PAA[[#This Row],[Meta Proyecto de Inversión]],1,4)</f>
        <v>8126</v>
      </c>
      <c r="T90" s="166" t="str">
        <f>MID(PAA[[#This Row],[Meta Proyecto de Inversión]],6,2)</f>
        <v>6-</v>
      </c>
      <c r="U90" s="167" t="str">
        <f>IFERROR(VLOOKUP(N90,TD!$B$54:$F$58,2,0)," ")</f>
        <v>O230117</v>
      </c>
      <c r="V90" s="167" t="str">
        <f>IFERROR(VLOOKUP(N90,TD!$B$54:$F$58,3,0)," ")</f>
        <v>4599</v>
      </c>
      <c r="W90" s="167">
        <f>IFERROR(VLOOKUP(N90,TD!$B$54:$F$58,4,0)," ")</f>
        <v>20240207</v>
      </c>
      <c r="X90" s="166" t="s">
        <v>168</v>
      </c>
      <c r="Y90" s="167" t="str">
        <f>IFERROR(VLOOKUP(X90,TD!$J$55:$K$68,2,0)," ")</f>
        <v>Infraestructura Tecnológica   (Sistemas de Información y Tecnologia)</v>
      </c>
      <c r="Z90" s="168" t="str">
        <f>CONCATENATE(X90,"-",Y90)</f>
        <v>11-Infraestructura Tecnológica   (Sistemas de Información y Tecnologia)</v>
      </c>
      <c r="AA90" s="166" t="s">
        <v>228</v>
      </c>
      <c r="AB90" s="167" t="str">
        <f>IFERROR(VLOOKUP(AA90,TD!$N$55:$O$70,2,0)," ")</f>
        <v>Servicios tecnológicos</v>
      </c>
      <c r="AC90" s="168" t="str">
        <f>CONCATENATE(AA90,"_",AB90)</f>
        <v>007_Servicios tecnológicos</v>
      </c>
      <c r="AD90" s="168" t="str">
        <f>CONCATENATE(Z90," ",AC90)</f>
        <v>11-Infraestructura Tecnológica   (Sistemas de Información y Tecnologia) 007_Servicios tecnológicos</v>
      </c>
      <c r="AE90" s="167" t="str">
        <f>CONCATENATE(U90,V90,W90,X90,AA90)</f>
        <v>O23011745992024020711007</v>
      </c>
      <c r="AF90" s="167" t="str">
        <f>IFERROR(VLOOKUP(AD90,TD!$J$70:$K$93,2,0)," ")</f>
        <v>PM/0131/0111/45990070207</v>
      </c>
      <c r="AG90" s="114" t="s">
        <v>385</v>
      </c>
      <c r="AH90" s="166" t="s">
        <v>193</v>
      </c>
      <c r="AI90" s="169" t="str">
        <f>CONCATENATE(PAA[[#This Row],[Id Interno]],"-",PAA[[#This Row],[tipo de Contrato (TH talento humano - B/S bienes y/o servicios)]],"-",S90,"-",T90,"-",PAA[[#This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91" spans="2:35" ht="84" x14ac:dyDescent="0.35">
      <c r="B91" s="23">
        <v>20260031</v>
      </c>
      <c r="C91" s="97" t="s">
        <v>574</v>
      </c>
      <c r="D91" s="23" t="s">
        <v>105</v>
      </c>
      <c r="E91" s="23" t="s">
        <v>363</v>
      </c>
      <c r="F91" s="163" t="s">
        <v>144</v>
      </c>
      <c r="G91" s="164" t="s">
        <v>373</v>
      </c>
      <c r="H91" s="165">
        <v>10</v>
      </c>
      <c r="I91" s="165">
        <v>0</v>
      </c>
      <c r="J91" s="122">
        <v>75000000</v>
      </c>
      <c r="K91" s="88" t="s">
        <v>398</v>
      </c>
      <c r="L91" s="163" t="s">
        <v>151</v>
      </c>
      <c r="M91" s="166" t="s">
        <v>401</v>
      </c>
      <c r="N91" s="23" t="s">
        <v>197</v>
      </c>
      <c r="O91" s="144" t="s">
        <v>886</v>
      </c>
      <c r="P91" s="163" t="s">
        <v>348</v>
      </c>
      <c r="Q91" s="53">
        <v>80111600</v>
      </c>
      <c r="R91" s="166" t="s">
        <v>205</v>
      </c>
      <c r="S91" s="166" t="str">
        <f>MID(PAA[[#This Row],[Meta Proyecto de Inversión]],1,4)</f>
        <v>8126</v>
      </c>
      <c r="T91" s="166" t="str">
        <f>MID(PAA[[#This Row],[Meta Proyecto de Inversión]],6,2)</f>
        <v>6-</v>
      </c>
      <c r="U91" s="167" t="str">
        <f>IFERROR(VLOOKUP(N91,TD!$B$54:$F$58,2,0)," ")</f>
        <v>O230117</v>
      </c>
      <c r="V91" s="167" t="str">
        <f>IFERROR(VLOOKUP(N91,TD!$B$54:$F$58,3,0)," ")</f>
        <v>4599</v>
      </c>
      <c r="W91" s="167">
        <f>IFERROR(VLOOKUP(N91,TD!$B$54:$F$58,4,0)," ")</f>
        <v>20240207</v>
      </c>
      <c r="X91" s="166" t="s">
        <v>168</v>
      </c>
      <c r="Y91" s="167" t="str">
        <f>IFERROR(VLOOKUP(X91,TD!$J$55:$K$68,2,0)," ")</f>
        <v>Infraestructura Tecnológica   (Sistemas de Información y Tecnologia)</v>
      </c>
      <c r="Z91" s="168" t="str">
        <f>CONCATENATE(X91,"-",Y91)</f>
        <v>11-Infraestructura Tecnológica   (Sistemas de Información y Tecnologia)</v>
      </c>
      <c r="AA91" s="166" t="s">
        <v>228</v>
      </c>
      <c r="AB91" s="167" t="str">
        <f>IFERROR(VLOOKUP(AA91,TD!$N$55:$O$70,2,0)," ")</f>
        <v>Servicios tecnológicos</v>
      </c>
      <c r="AC91" s="168" t="str">
        <f>CONCATENATE(AA91,"_",AB91)</f>
        <v>007_Servicios tecnológicos</v>
      </c>
      <c r="AD91" s="168" t="str">
        <f>CONCATENATE(Z91," ",AC91)</f>
        <v>11-Infraestructura Tecnológica   (Sistemas de Información y Tecnologia) 007_Servicios tecnológicos</v>
      </c>
      <c r="AE91" s="167" t="str">
        <f>CONCATENATE(U91,V91,W91,X91,AA91)</f>
        <v>O23011745992024020711007</v>
      </c>
      <c r="AF91" s="167" t="str">
        <f>IFERROR(VLOOKUP(AD91,TD!$J$70:$K$93,2,0)," ")</f>
        <v>PM/0131/0111/45990070207</v>
      </c>
      <c r="AG91" s="114" t="s">
        <v>385</v>
      </c>
      <c r="AH91" s="166" t="s">
        <v>193</v>
      </c>
      <c r="AI91" s="169" t="str">
        <f>CONCATENATE(PAA[[#This Row],[Id Interno]],"-",PAA[[#This Row],[tipo de Contrato (TH talento humano - B/S bienes y/o servicios)]],"-",S91,"-",T91,"-",PAA[[#This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92" spans="2:35" ht="70" x14ac:dyDescent="0.35">
      <c r="B92" s="97">
        <v>20260032</v>
      </c>
      <c r="C92" s="97" t="s">
        <v>429</v>
      </c>
      <c r="D92" s="97" t="s">
        <v>88</v>
      </c>
      <c r="E92" s="97" t="s">
        <v>402</v>
      </c>
      <c r="F92" s="164" t="s">
        <v>89</v>
      </c>
      <c r="G92" s="164" t="s">
        <v>377</v>
      </c>
      <c r="H92" s="170">
        <v>9</v>
      </c>
      <c r="I92" s="170">
        <v>0</v>
      </c>
      <c r="J92" s="114">
        <v>21336000</v>
      </c>
      <c r="K92" s="121" t="s">
        <v>398</v>
      </c>
      <c r="L92" s="164" t="s">
        <v>151</v>
      </c>
      <c r="M92" s="171" t="s">
        <v>401</v>
      </c>
      <c r="N92" s="97" t="s">
        <v>197</v>
      </c>
      <c r="O92" s="144" t="s">
        <v>886</v>
      </c>
      <c r="P92" s="164" t="s">
        <v>348</v>
      </c>
      <c r="Q92" s="123" t="s">
        <v>433</v>
      </c>
      <c r="R92" s="171" t="s">
        <v>203</v>
      </c>
      <c r="S92" s="166" t="str">
        <f>MID(PAA[[#This Row],[Meta Proyecto de Inversión]],1,4)</f>
        <v>8126</v>
      </c>
      <c r="T92" s="166" t="str">
        <f>MID(PAA[[#This Row],[Meta Proyecto de Inversión]],6,2)</f>
        <v>4-</v>
      </c>
      <c r="U92" s="172" t="str">
        <f>IFERROR(VLOOKUP(N92,TD!$B$54:$F$58,2,0)," ")</f>
        <v>O230117</v>
      </c>
      <c r="V92" s="172" t="str">
        <f>IFERROR(VLOOKUP(N92,TD!$B$54:$F$58,3,0)," ")</f>
        <v>4599</v>
      </c>
      <c r="W92" s="172">
        <f>IFERROR(VLOOKUP(N92,TD!$B$54:$F$58,4,0)," ")</f>
        <v>20240207</v>
      </c>
      <c r="X92" s="171" t="s">
        <v>168</v>
      </c>
      <c r="Y92" s="172" t="str">
        <f>IFERROR(VLOOKUP(X92,TD!$J$55:$K$68,2,0)," ")</f>
        <v>Infraestructura Tecnológica   (Sistemas de Información y Tecnologia)</v>
      </c>
      <c r="Z92" s="168" t="str">
        <f>CONCATENATE(X92,"-",Y92)</f>
        <v>11-Infraestructura Tecnológica   (Sistemas de Información y Tecnologia)</v>
      </c>
      <c r="AA92" s="171" t="s">
        <v>228</v>
      </c>
      <c r="AB92" s="172" t="str">
        <f>IFERROR(VLOOKUP(AA92,TD!$N$55:$O$70,2,0)," ")</f>
        <v>Servicios tecnológicos</v>
      </c>
      <c r="AC92" s="168" t="str">
        <f>CONCATENATE(AA92,"_",AB92)</f>
        <v>007_Servicios tecnológicos</v>
      </c>
      <c r="AD92" s="168" t="str">
        <f>CONCATENATE(Z92," ",AC92)</f>
        <v>11-Infraestructura Tecnológica   (Sistemas de Información y Tecnologia) 007_Servicios tecnológicos</v>
      </c>
      <c r="AE92" s="172" t="str">
        <f>CONCATENATE(U92,V92,W92,X92,AA92)</f>
        <v>O23011745992024020711007</v>
      </c>
      <c r="AF92" s="172" t="str">
        <f>IFERROR(VLOOKUP(AD92,TD!$J$70:$K$93,2,0)," ")</f>
        <v>PM/0131/0111/45990070207</v>
      </c>
      <c r="AG92" s="114" t="s">
        <v>116</v>
      </c>
      <c r="AH92" s="171" t="s">
        <v>193</v>
      </c>
      <c r="AI92" s="173" t="str">
        <f>CONCATENATE(PAA[[#This Row],[Id Interno]],"-",PAA[[#This Row],[tipo de Contrato (TH talento humano - B/S bienes y/o servicios)]],"-",S92,"-",T92,"-",PAA[[#This Row],[Objeto de la contratación]])</f>
        <v>20260032-BS-8126-4--Contratar la prestación del servicio de monitoreo, control y seguimiento satelital a los vehículos de propiedad de la U.A.E. Cuerpo Oficial de Bomberos de Bogotá - TIC</v>
      </c>
    </row>
    <row r="93" spans="2:35" ht="84" x14ac:dyDescent="0.35">
      <c r="B93" s="23">
        <v>20260033</v>
      </c>
      <c r="C93" s="97" t="s">
        <v>990</v>
      </c>
      <c r="D93" s="23" t="s">
        <v>83</v>
      </c>
      <c r="E93" s="23" t="s">
        <v>402</v>
      </c>
      <c r="F93" s="163" t="s">
        <v>89</v>
      </c>
      <c r="G93" s="164" t="s">
        <v>382</v>
      </c>
      <c r="H93" s="165">
        <v>6</v>
      </c>
      <c r="I93" s="165">
        <v>0</v>
      </c>
      <c r="J93" s="122">
        <v>121002500</v>
      </c>
      <c r="K93" s="88" t="s">
        <v>398</v>
      </c>
      <c r="L93" s="163" t="s">
        <v>151</v>
      </c>
      <c r="M93" s="166" t="s">
        <v>401</v>
      </c>
      <c r="N93" s="23" t="s">
        <v>197</v>
      </c>
      <c r="O93" s="144" t="s">
        <v>886</v>
      </c>
      <c r="P93" s="163" t="s">
        <v>348</v>
      </c>
      <c r="Q93" s="53" t="s">
        <v>434</v>
      </c>
      <c r="R93" s="166" t="s">
        <v>204</v>
      </c>
      <c r="S93" s="166" t="str">
        <f>MID(PAA[[#This Row],[Meta Proyecto de Inversión]],1,4)</f>
        <v>8126</v>
      </c>
      <c r="T93" s="166" t="str">
        <f>MID(PAA[[#This Row],[Meta Proyecto de Inversión]],6,2)</f>
        <v>5-</v>
      </c>
      <c r="U93" s="167" t="str">
        <f>IFERROR(VLOOKUP(N93,TD!$B$54:$F$58,2,0)," ")</f>
        <v>O230117</v>
      </c>
      <c r="V93" s="167" t="str">
        <f>IFERROR(VLOOKUP(N93,TD!$B$54:$F$58,3,0)," ")</f>
        <v>4599</v>
      </c>
      <c r="W93" s="167">
        <f>IFERROR(VLOOKUP(N93,TD!$B$54:$F$58,4,0)," ")</f>
        <v>20240207</v>
      </c>
      <c r="X93" s="166" t="s">
        <v>168</v>
      </c>
      <c r="Y93" s="167" t="str">
        <f>IFERROR(VLOOKUP(X93,TD!$J$55:$K$68,2,0)," ")</f>
        <v>Infraestructura Tecnológica   (Sistemas de Información y Tecnologia)</v>
      </c>
      <c r="Z93" s="168" t="str">
        <f>CONCATENATE(X93,"-",Y93)</f>
        <v>11-Infraestructura Tecnológica   (Sistemas de Información y Tecnologia)</v>
      </c>
      <c r="AA93" s="166" t="s">
        <v>228</v>
      </c>
      <c r="AB93" s="167" t="str">
        <f>IFERROR(VLOOKUP(AA93,TD!$N$55:$O$70,2,0)," ")</f>
        <v>Servicios tecnológicos</v>
      </c>
      <c r="AC93" s="168" t="str">
        <f>CONCATENATE(AA93,"_",AB93)</f>
        <v>007_Servicios tecnológicos</v>
      </c>
      <c r="AD93" s="168" t="str">
        <f>CONCATENATE(Z93," ",AC93)</f>
        <v>11-Infraestructura Tecnológica   (Sistemas de Información y Tecnologia) 007_Servicios tecnológicos</v>
      </c>
      <c r="AE93" s="167" t="str">
        <f>CONCATENATE(U93,V93,W93,X93,AA93)</f>
        <v>O23011745992024020711007</v>
      </c>
      <c r="AF93" s="167" t="str">
        <f>IFERROR(VLOOKUP(AD93,TD!$J$70:$K$93,2,0)," ")</f>
        <v>PM/0131/0111/45990070207</v>
      </c>
      <c r="AG93" s="114" t="s">
        <v>121</v>
      </c>
      <c r="AH93" s="166" t="s">
        <v>194</v>
      </c>
      <c r="AI93" s="169" t="str">
        <f>CONCATENATE(PAA[[#This Row],[Id Interno]],"-",PAA[[#This Row],[tipo de Contrato (TH talento humano - B/S bienes y/o servicios)]],"-",S93,"-",T93,"-",PAA[[#This Row],[Objeto de la contratación]])</f>
        <v>20260033-BS-8126-5--Adición y prorroga del contrato 624 - 2025 cuyo objeto es: Adquisición, actualización y configuración de la plataforma de comunicaciones
de Voz IP compatible con la solución actual con la que cuenta la entidad.</v>
      </c>
    </row>
    <row r="94" spans="2:35" ht="42" x14ac:dyDescent="0.35">
      <c r="B94" s="23">
        <v>20260036</v>
      </c>
      <c r="C94" s="97" t="s">
        <v>991</v>
      </c>
      <c r="D94" s="23" t="s">
        <v>105</v>
      </c>
      <c r="E94" s="23" t="s">
        <v>402</v>
      </c>
      <c r="F94" s="163" t="s">
        <v>135</v>
      </c>
      <c r="G94" s="164" t="s">
        <v>378</v>
      </c>
      <c r="H94" s="165">
        <v>12</v>
      </c>
      <c r="I94" s="165">
        <v>0</v>
      </c>
      <c r="J94" s="122">
        <v>0</v>
      </c>
      <c r="K94" s="88" t="s">
        <v>398</v>
      </c>
      <c r="L94" s="163" t="s">
        <v>151</v>
      </c>
      <c r="M94" s="166" t="s">
        <v>401</v>
      </c>
      <c r="N94" s="23" t="s">
        <v>197</v>
      </c>
      <c r="O94" s="144" t="s">
        <v>886</v>
      </c>
      <c r="P94" s="163" t="s">
        <v>348</v>
      </c>
      <c r="Q94" s="53" t="s">
        <v>992</v>
      </c>
      <c r="R94" s="166" t="s">
        <v>204</v>
      </c>
      <c r="S94" s="166" t="str">
        <f>MID(PAA[[#This Row],[Meta Proyecto de Inversión]],1,4)</f>
        <v>8126</v>
      </c>
      <c r="T94" s="166" t="str">
        <f>MID(PAA[[#This Row],[Meta Proyecto de Inversión]],6,2)</f>
        <v>5-</v>
      </c>
      <c r="U94" s="167" t="str">
        <f>IFERROR(VLOOKUP(N94,TD!$B$54:$F$58,2,0)," ")</f>
        <v>O230117</v>
      </c>
      <c r="V94" s="167" t="str">
        <f>IFERROR(VLOOKUP(N94,TD!$B$54:$F$58,3,0)," ")</f>
        <v>4599</v>
      </c>
      <c r="W94" s="167">
        <f>IFERROR(VLOOKUP(N94,TD!$B$54:$F$58,4,0)," ")</f>
        <v>20240207</v>
      </c>
      <c r="X94" s="166" t="s">
        <v>168</v>
      </c>
      <c r="Y94" s="167" t="str">
        <f>IFERROR(VLOOKUP(X94,TD!$J$55:$K$68,2,0)," ")</f>
        <v>Infraestructura Tecnológica   (Sistemas de Información y Tecnologia)</v>
      </c>
      <c r="Z94" s="168" t="str">
        <f>CONCATENATE(X94,"-",Y94)</f>
        <v>11-Infraestructura Tecnológica   (Sistemas de Información y Tecnologia)</v>
      </c>
      <c r="AA94" s="166" t="s">
        <v>228</v>
      </c>
      <c r="AB94" s="167" t="str">
        <f>IFERROR(VLOOKUP(AA94,TD!$N$55:$O$70,2,0)," ")</f>
        <v>Servicios tecnológicos</v>
      </c>
      <c r="AC94" s="168" t="str">
        <f>CONCATENATE(AA94,"_",AB94)</f>
        <v>007_Servicios tecnológicos</v>
      </c>
      <c r="AD94" s="168" t="str">
        <f>CONCATENATE(Z94," ",AC94)</f>
        <v>11-Infraestructura Tecnológica   (Sistemas de Información y Tecnologia) 007_Servicios tecnológicos</v>
      </c>
      <c r="AE94" s="167" t="str">
        <f>CONCATENATE(U94,V94,W94,X94,AA94)</f>
        <v>O23011745992024020711007</v>
      </c>
      <c r="AF94" s="167" t="str">
        <f>IFERROR(VLOOKUP(AD94,TD!$J$70:$K$93,2,0)," ")</f>
        <v>PM/0131/0111/45990070207</v>
      </c>
      <c r="AG94" s="114" t="s">
        <v>121</v>
      </c>
      <c r="AH94" s="166" t="s">
        <v>193</v>
      </c>
      <c r="AI94" s="169" t="str">
        <f>CONCATENATE(PAA[[#This Row],[Id Interno]],"-",PAA[[#This Row],[tipo de Contrato (TH talento humano - B/S bienes y/o servicios)]],"-",S94,"-",T94,"-",PAA[[#This Row],[Objeto de la contratación]])</f>
        <v>20260036-BS-8126-5--Contratar a título de comodato o préstamo de uso gratuito, impresoras multifuncionales y periféricos para el desarrollo de actividades administrativas de la UAE Cuerpo Oficial de Bomberos de Bogotá</v>
      </c>
    </row>
    <row r="95" spans="2:35" ht="70" x14ac:dyDescent="0.35">
      <c r="B95" s="97">
        <v>20260037</v>
      </c>
      <c r="C95" s="97" t="s">
        <v>843</v>
      </c>
      <c r="D95" s="97" t="s">
        <v>114</v>
      </c>
      <c r="E95" s="97" t="s">
        <v>402</v>
      </c>
      <c r="F95" s="164" t="s">
        <v>143</v>
      </c>
      <c r="G95" s="164" t="s">
        <v>378</v>
      </c>
      <c r="H95" s="170">
        <v>12</v>
      </c>
      <c r="I95" s="170">
        <v>0</v>
      </c>
      <c r="J95" s="114">
        <v>47916600</v>
      </c>
      <c r="K95" s="121" t="s">
        <v>398</v>
      </c>
      <c r="L95" s="164" t="s">
        <v>151</v>
      </c>
      <c r="M95" s="171" t="s">
        <v>401</v>
      </c>
      <c r="N95" s="97" t="s">
        <v>197</v>
      </c>
      <c r="O95" s="144" t="s">
        <v>886</v>
      </c>
      <c r="P95" s="164" t="s">
        <v>348</v>
      </c>
      <c r="Q95" s="123" t="s">
        <v>844</v>
      </c>
      <c r="R95" s="171" t="s">
        <v>204</v>
      </c>
      <c r="S95" s="166" t="str">
        <f>MID(PAA[[#This Row],[Meta Proyecto de Inversión]],1,4)</f>
        <v>8126</v>
      </c>
      <c r="T95" s="166" t="str">
        <f>MID(PAA[[#This Row],[Meta Proyecto de Inversión]],6,2)</f>
        <v>5-</v>
      </c>
      <c r="U95" s="172" t="str">
        <f>IFERROR(VLOOKUP(N95,TD!$B$54:$F$58,2,0)," ")</f>
        <v>O230117</v>
      </c>
      <c r="V95" s="172" t="str">
        <f>IFERROR(VLOOKUP(N95,TD!$B$54:$F$58,3,0)," ")</f>
        <v>4599</v>
      </c>
      <c r="W95" s="172">
        <f>IFERROR(VLOOKUP(N95,TD!$B$54:$F$58,4,0)," ")</f>
        <v>20240207</v>
      </c>
      <c r="X95" s="171" t="s">
        <v>168</v>
      </c>
      <c r="Y95" s="172" t="str">
        <f>IFERROR(VLOOKUP(X95,TD!$J$55:$K$68,2,0)," ")</f>
        <v>Infraestructura Tecnológica   (Sistemas de Información y Tecnologia)</v>
      </c>
      <c r="Z95" s="168" t="str">
        <f>CONCATENATE(X95,"-",Y95)</f>
        <v>11-Infraestructura Tecnológica   (Sistemas de Información y Tecnologia)</v>
      </c>
      <c r="AA95" s="171" t="s">
        <v>228</v>
      </c>
      <c r="AB95" s="172" t="str">
        <f>IFERROR(VLOOKUP(AA95,TD!$N$55:$O$70,2,0)," ")</f>
        <v>Servicios tecnológicos</v>
      </c>
      <c r="AC95" s="168" t="str">
        <f>CONCATENATE(AA95,"_",AB95)</f>
        <v>007_Servicios tecnológicos</v>
      </c>
      <c r="AD95" s="168" t="str">
        <f>CONCATENATE(Z95," ",AC95)</f>
        <v>11-Infraestructura Tecnológica   (Sistemas de Información y Tecnologia) 007_Servicios tecnológicos</v>
      </c>
      <c r="AE95" s="172" t="str">
        <f>CONCATENATE(U95,V95,W95,X95,AA95)</f>
        <v>O23011745992024020711007</v>
      </c>
      <c r="AF95" s="172" t="str">
        <f>IFERROR(VLOOKUP(AD95,TD!$J$70:$K$93,2,0)," ")</f>
        <v>PM/0131/0111/45990070207</v>
      </c>
      <c r="AG95" s="114" t="s">
        <v>121</v>
      </c>
      <c r="AH95" s="171" t="s">
        <v>193</v>
      </c>
      <c r="AI95" s="173" t="str">
        <f>CONCATENATE(PAA[[#This Row],[Id Interno]],"-",PAA[[#This Row],[tipo de Contrato (TH talento humano - B/S bienes y/o servicios)]],"-",S95,"-",T95,"-",PAA[[#This Row],[Objeto de la contratación]])</f>
        <v>20260037-BS-8126-5--Contratar la adquisición de dispositivos para el fortalecimiento y modernización de la infraestructura tecnológica de la U.A.E. Cuerpo Oficial de Bomberos de Bogotá.</v>
      </c>
    </row>
    <row r="96" spans="2:35" ht="56" x14ac:dyDescent="0.35">
      <c r="B96" s="23">
        <v>20260038</v>
      </c>
      <c r="C96" s="97" t="s">
        <v>845</v>
      </c>
      <c r="D96" s="23" t="s">
        <v>105</v>
      </c>
      <c r="E96" s="23" t="s">
        <v>402</v>
      </c>
      <c r="F96" s="163" t="s">
        <v>89</v>
      </c>
      <c r="G96" s="164" t="s">
        <v>375</v>
      </c>
      <c r="H96" s="165">
        <v>12</v>
      </c>
      <c r="I96" s="165">
        <v>0</v>
      </c>
      <c r="J96" s="122">
        <v>100000000</v>
      </c>
      <c r="K96" s="88" t="s">
        <v>398</v>
      </c>
      <c r="L96" s="163" t="s">
        <v>151</v>
      </c>
      <c r="M96" s="166" t="s">
        <v>401</v>
      </c>
      <c r="N96" s="23" t="s">
        <v>197</v>
      </c>
      <c r="O96" s="144" t="s">
        <v>886</v>
      </c>
      <c r="P96" s="163" t="s">
        <v>348</v>
      </c>
      <c r="Q96" s="53" t="s">
        <v>435</v>
      </c>
      <c r="R96" s="166" t="s">
        <v>204</v>
      </c>
      <c r="S96" s="166" t="str">
        <f>MID(PAA[[#This Row],[Meta Proyecto de Inversión]],1,4)</f>
        <v>8126</v>
      </c>
      <c r="T96" s="166" t="str">
        <f>MID(PAA[[#This Row],[Meta Proyecto de Inversión]],6,2)</f>
        <v>5-</v>
      </c>
      <c r="U96" s="167" t="str">
        <f>IFERROR(VLOOKUP(N96,TD!$B$54:$F$58,2,0)," ")</f>
        <v>O230117</v>
      </c>
      <c r="V96" s="167" t="str">
        <f>IFERROR(VLOOKUP(N96,TD!$B$54:$F$58,3,0)," ")</f>
        <v>4599</v>
      </c>
      <c r="W96" s="167">
        <f>IFERROR(VLOOKUP(N96,TD!$B$54:$F$58,4,0)," ")</f>
        <v>20240207</v>
      </c>
      <c r="X96" s="166" t="s">
        <v>168</v>
      </c>
      <c r="Y96" s="167" t="str">
        <f>IFERROR(VLOOKUP(X96,TD!$J$55:$K$68,2,0)," ")</f>
        <v>Infraestructura Tecnológica   (Sistemas de Información y Tecnologia)</v>
      </c>
      <c r="Z96" s="168" t="str">
        <f>CONCATENATE(X96,"-",Y96)</f>
        <v>11-Infraestructura Tecnológica   (Sistemas de Información y Tecnologia)</v>
      </c>
      <c r="AA96" s="166" t="s">
        <v>228</v>
      </c>
      <c r="AB96" s="167" t="str">
        <f>IFERROR(VLOOKUP(AA96,TD!$N$55:$O$70,2,0)," ")</f>
        <v>Servicios tecnológicos</v>
      </c>
      <c r="AC96" s="168" t="str">
        <f>CONCATENATE(AA96,"_",AB96)</f>
        <v>007_Servicios tecnológicos</v>
      </c>
      <c r="AD96" s="168" t="str">
        <f>CONCATENATE(Z96," ",AC96)</f>
        <v>11-Infraestructura Tecnológica   (Sistemas de Información y Tecnologia) 007_Servicios tecnológicos</v>
      </c>
      <c r="AE96" s="167" t="str">
        <f>CONCATENATE(U96,V96,W96,X96,AA96)</f>
        <v>O23011745992024020711007</v>
      </c>
      <c r="AF96" s="167" t="str">
        <f>IFERROR(VLOOKUP(AD96,TD!$J$70:$K$93,2,0)," ")</f>
        <v>PM/0131/0111/45990070207</v>
      </c>
      <c r="AG96" s="114" t="s">
        <v>116</v>
      </c>
      <c r="AH96" s="166" t="s">
        <v>194</v>
      </c>
      <c r="AI96" s="169" t="str">
        <f>CONCATENATE(PAA[[#This Row],[Id Interno]],"-",PAA[[#This Row],[tipo de Contrato (TH talento humano - B/S bienes y/o servicios)]],"-",S96,"-",T96,"-",PAA[[#This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97" spans="2:35" ht="56" x14ac:dyDescent="0.35">
      <c r="B97" s="23">
        <v>20260039</v>
      </c>
      <c r="C97" s="97" t="s">
        <v>846</v>
      </c>
      <c r="D97" s="23" t="s">
        <v>88</v>
      </c>
      <c r="E97" s="23" t="s">
        <v>402</v>
      </c>
      <c r="F97" s="163" t="s">
        <v>89</v>
      </c>
      <c r="G97" s="164" t="s">
        <v>375</v>
      </c>
      <c r="H97" s="165">
        <v>12</v>
      </c>
      <c r="I97" s="165">
        <v>0</v>
      </c>
      <c r="J97" s="122">
        <v>100000000</v>
      </c>
      <c r="K97" s="88" t="s">
        <v>398</v>
      </c>
      <c r="L97" s="163" t="s">
        <v>151</v>
      </c>
      <c r="M97" s="166" t="s">
        <v>401</v>
      </c>
      <c r="N97" s="23" t="s">
        <v>197</v>
      </c>
      <c r="O97" s="144" t="s">
        <v>886</v>
      </c>
      <c r="P97" s="163" t="s">
        <v>348</v>
      </c>
      <c r="Q97" s="53" t="s">
        <v>436</v>
      </c>
      <c r="R97" s="166" t="s">
        <v>204</v>
      </c>
      <c r="S97" s="166" t="str">
        <f>MID(PAA[[#This Row],[Meta Proyecto de Inversión]],1,4)</f>
        <v>8126</v>
      </c>
      <c r="T97" s="166" t="str">
        <f>MID(PAA[[#This Row],[Meta Proyecto de Inversión]],6,2)</f>
        <v>5-</v>
      </c>
      <c r="U97" s="167" t="str">
        <f>IFERROR(VLOOKUP(N97,TD!$B$54:$F$58,2,0)," ")</f>
        <v>O230117</v>
      </c>
      <c r="V97" s="167" t="str">
        <f>IFERROR(VLOOKUP(N97,TD!$B$54:$F$58,3,0)," ")</f>
        <v>4599</v>
      </c>
      <c r="W97" s="167">
        <f>IFERROR(VLOOKUP(N97,TD!$B$54:$F$58,4,0)," ")</f>
        <v>20240207</v>
      </c>
      <c r="X97" s="166" t="s">
        <v>168</v>
      </c>
      <c r="Y97" s="167" t="str">
        <f>IFERROR(VLOOKUP(X97,TD!$J$55:$K$68,2,0)," ")</f>
        <v>Infraestructura Tecnológica   (Sistemas de Información y Tecnologia)</v>
      </c>
      <c r="Z97" s="168" t="str">
        <f>CONCATENATE(X97,"-",Y97)</f>
        <v>11-Infraestructura Tecnológica   (Sistemas de Información y Tecnologia)</v>
      </c>
      <c r="AA97" s="166" t="s">
        <v>228</v>
      </c>
      <c r="AB97" s="167" t="str">
        <f>IFERROR(VLOOKUP(AA97,TD!$N$55:$O$70,2,0)," ")</f>
        <v>Servicios tecnológicos</v>
      </c>
      <c r="AC97" s="168" t="str">
        <f>CONCATENATE(AA97,"_",AB97)</f>
        <v>007_Servicios tecnológicos</v>
      </c>
      <c r="AD97" s="168" t="str">
        <f>CONCATENATE(Z97," ",AC97)</f>
        <v>11-Infraestructura Tecnológica   (Sistemas de Información y Tecnologia) 007_Servicios tecnológicos</v>
      </c>
      <c r="AE97" s="167" t="str">
        <f>CONCATENATE(U97,V97,W97,X97,AA97)</f>
        <v>O23011745992024020711007</v>
      </c>
      <c r="AF97" s="167" t="str">
        <f>IFERROR(VLOOKUP(AD97,TD!$J$70:$K$93,2,0)," ")</f>
        <v>PM/0131/0111/45990070207</v>
      </c>
      <c r="AG97" s="114" t="s">
        <v>116</v>
      </c>
      <c r="AH97" s="166" t="s">
        <v>194</v>
      </c>
      <c r="AI97" s="169" t="str">
        <f>CONCATENATE(PAA[[#This Row],[Id Interno]],"-",PAA[[#This Row],[tipo de Contrato (TH talento humano - B/S bienes y/o servicios)]],"-",S97,"-",T97,"-",PAA[[#This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98" spans="2:35" ht="56" x14ac:dyDescent="0.35">
      <c r="B98" s="23">
        <v>20260044</v>
      </c>
      <c r="C98" s="97" t="s">
        <v>432</v>
      </c>
      <c r="D98" s="23" t="s">
        <v>105</v>
      </c>
      <c r="E98" s="23" t="s">
        <v>402</v>
      </c>
      <c r="F98" s="163" t="s">
        <v>143</v>
      </c>
      <c r="G98" s="164" t="s">
        <v>373</v>
      </c>
      <c r="H98" s="165">
        <v>12</v>
      </c>
      <c r="I98" s="165">
        <v>0</v>
      </c>
      <c r="J98" s="122">
        <v>19444600</v>
      </c>
      <c r="K98" s="88" t="s">
        <v>398</v>
      </c>
      <c r="L98" s="163" t="s">
        <v>151</v>
      </c>
      <c r="M98" s="166" t="s">
        <v>401</v>
      </c>
      <c r="N98" s="23" t="s">
        <v>197</v>
      </c>
      <c r="O98" s="144" t="s">
        <v>886</v>
      </c>
      <c r="P98" s="163" t="s">
        <v>348</v>
      </c>
      <c r="Q98" s="53" t="s">
        <v>437</v>
      </c>
      <c r="R98" s="166" t="s">
        <v>203</v>
      </c>
      <c r="S98" s="166" t="str">
        <f>MID(PAA[[#This Row],[Meta Proyecto de Inversión]],1,4)</f>
        <v>8126</v>
      </c>
      <c r="T98" s="166" t="str">
        <f>MID(PAA[[#This Row],[Meta Proyecto de Inversión]],6,2)</f>
        <v>4-</v>
      </c>
      <c r="U98" s="167" t="str">
        <f>IFERROR(VLOOKUP(N98,TD!$B$54:$F$58,2,0)," ")</f>
        <v>O230117</v>
      </c>
      <c r="V98" s="167" t="str">
        <f>IFERROR(VLOOKUP(N98,TD!$B$54:$F$58,3,0)," ")</f>
        <v>4599</v>
      </c>
      <c r="W98" s="167">
        <f>IFERROR(VLOOKUP(N98,TD!$B$54:$F$58,4,0)," ")</f>
        <v>20240207</v>
      </c>
      <c r="X98" s="166" t="s">
        <v>168</v>
      </c>
      <c r="Y98" s="167" t="str">
        <f>IFERROR(VLOOKUP(X98,TD!$J$55:$K$68,2,0)," ")</f>
        <v>Infraestructura Tecnológica   (Sistemas de Información y Tecnologia)</v>
      </c>
      <c r="Z98" s="168" t="str">
        <f>CONCATENATE(X98,"-",Y98)</f>
        <v>11-Infraestructura Tecnológica   (Sistemas de Información y Tecnologia)</v>
      </c>
      <c r="AA98" s="166" t="s">
        <v>228</v>
      </c>
      <c r="AB98" s="167" t="str">
        <f>IFERROR(VLOOKUP(AA98,TD!$N$55:$O$70,2,0)," ")</f>
        <v>Servicios tecnológicos</v>
      </c>
      <c r="AC98" s="168" t="str">
        <f>CONCATENATE(AA98,"_",AB98)</f>
        <v>007_Servicios tecnológicos</v>
      </c>
      <c r="AD98" s="168" t="str">
        <f>CONCATENATE(Z98," ",AC98)</f>
        <v>11-Infraestructura Tecnológica   (Sistemas de Información y Tecnologia) 007_Servicios tecnológicos</v>
      </c>
      <c r="AE98" s="167" t="str">
        <f>CONCATENATE(U98,V98,W98,X98,AA98)</f>
        <v>O23011745992024020711007</v>
      </c>
      <c r="AF98" s="167" t="str">
        <f>IFERROR(VLOOKUP(AD98,TD!$J$70:$K$93,2,0)," ")</f>
        <v>PM/0131/0111/45990070207</v>
      </c>
      <c r="AG98" s="114" t="s">
        <v>116</v>
      </c>
      <c r="AH98" s="166" t="s">
        <v>193</v>
      </c>
      <c r="AI98" s="169" t="str">
        <f>CONCATENATE(PAA[[#This Row],[Id Interno]],"-",PAA[[#This Row],[tipo de Contrato (TH talento humano - B/S bienes y/o servicios)]],"-",S98,"-",T98,"-",PAA[[#This Row],[Objeto de la contratación]])</f>
        <v>20260044-BS-8126-4--Contratar el servicio de mantenimiento, soporte técnico y actualización del aplicativo PCT, utilizado por la UAE Cuerpo Oficial de Bomberos de Bogota - TIC</v>
      </c>
    </row>
    <row r="99" spans="2:35" ht="70" x14ac:dyDescent="0.35">
      <c r="B99" s="97">
        <v>20260048</v>
      </c>
      <c r="C99" s="97" t="s">
        <v>957</v>
      </c>
      <c r="D99" s="97" t="s">
        <v>83</v>
      </c>
      <c r="E99" s="97" t="s">
        <v>402</v>
      </c>
      <c r="F99" s="164" t="s">
        <v>89</v>
      </c>
      <c r="G99" s="164" t="s">
        <v>378</v>
      </c>
      <c r="H99" s="170">
        <v>12</v>
      </c>
      <c r="I99" s="164">
        <v>0</v>
      </c>
      <c r="J99" s="114">
        <v>229063100</v>
      </c>
      <c r="K99" s="121" t="s">
        <v>398</v>
      </c>
      <c r="L99" s="164" t="s">
        <v>151</v>
      </c>
      <c r="M99" s="171" t="s">
        <v>958</v>
      </c>
      <c r="N99" s="97" t="s">
        <v>197</v>
      </c>
      <c r="O99" s="144" t="s">
        <v>886</v>
      </c>
      <c r="P99" s="164" t="s">
        <v>348</v>
      </c>
      <c r="Q99" s="123" t="s">
        <v>964</v>
      </c>
      <c r="R99" s="171" t="s">
        <v>204</v>
      </c>
      <c r="S99" s="166" t="str">
        <f>MID(PAA[[#This Row],[Meta Proyecto de Inversión]],1,4)</f>
        <v>8126</v>
      </c>
      <c r="T99" s="166" t="str">
        <f>MID(PAA[[#This Row],[Meta Proyecto de Inversión]],6,2)</f>
        <v>5-</v>
      </c>
      <c r="U99" s="172" t="str">
        <f>IFERROR(VLOOKUP(N99,TD!$B$54:$F$58,2,0)," ")</f>
        <v>O230117</v>
      </c>
      <c r="V99" s="172" t="str">
        <f>IFERROR(VLOOKUP(N99,TD!$B$54:$F$58,3,0)," ")</f>
        <v>4599</v>
      </c>
      <c r="W99" s="172">
        <f>IFERROR(VLOOKUP(N99,TD!$B$54:$F$58,4,0)," ")</f>
        <v>20240207</v>
      </c>
      <c r="X99" s="171" t="s">
        <v>168</v>
      </c>
      <c r="Y99" s="172" t="str">
        <f>IFERROR(VLOOKUP(X99,TD!$J$55:$K$68,2,0)," ")</f>
        <v>Infraestructura Tecnológica   (Sistemas de Información y Tecnologia)</v>
      </c>
      <c r="Z99" s="168" t="str">
        <f>CONCATENATE(X99,"-",Y99)</f>
        <v>11-Infraestructura Tecnológica   (Sistemas de Información y Tecnologia)</v>
      </c>
      <c r="AA99" s="171" t="s">
        <v>228</v>
      </c>
      <c r="AB99" s="172" t="str">
        <f>IFERROR(VLOOKUP(AA99,TD!$N$55:$O$70,2,0)," ")</f>
        <v>Servicios tecnológicos</v>
      </c>
      <c r="AC99" s="168" t="str">
        <f>CONCATENATE(AA99,"_",AB99)</f>
        <v>007_Servicios tecnológicos</v>
      </c>
      <c r="AD99" s="168" t="str">
        <f>CONCATENATE(Z99," ",AC99)</f>
        <v>11-Infraestructura Tecnológica   (Sistemas de Información y Tecnologia) 007_Servicios tecnológicos</v>
      </c>
      <c r="AE99" s="172" t="str">
        <f>CONCATENATE(U99,V99,W99,X99,AA99)</f>
        <v>O23011745992024020711007</v>
      </c>
      <c r="AF99" s="172" t="str">
        <f>IFERROR(VLOOKUP(AD99,TD!$J$70:$K$93,2,0)," ")</f>
        <v>PM/0131/0111/45990070207</v>
      </c>
      <c r="AG99" s="114" t="s">
        <v>121</v>
      </c>
      <c r="AH99" s="171" t="s">
        <v>193</v>
      </c>
      <c r="AI99" s="173" t="str">
        <f>CONCATENATE(PAA[[#This Row],[Id Interno]],"-",PAA[[#This Row],[tipo de Contrato (TH talento humano - B/S bienes y/o servicios)]],"-",S99,"-",T99,"-",PAA[[#This Row],[Objeto de la contratación]])</f>
        <v>20260048-BS-8126-5--Modernización, mantenimiento y soporte de los componentes multimedia y tecnológicos para el equipamiento del auditorio de la sede principal de la U.A.E. Cuerpo Oficial de Bomberos Bogotá.</v>
      </c>
    </row>
    <row r="100" spans="2:35" ht="42" x14ac:dyDescent="0.35">
      <c r="B100" s="23">
        <v>20260053</v>
      </c>
      <c r="C100" s="97" t="s">
        <v>1064</v>
      </c>
      <c r="D100" s="23" t="s">
        <v>105</v>
      </c>
      <c r="E100" s="23" t="s">
        <v>402</v>
      </c>
      <c r="F100" s="163" t="s">
        <v>84</v>
      </c>
      <c r="G100" s="164" t="s">
        <v>379</v>
      </c>
      <c r="H100" s="165">
        <v>8</v>
      </c>
      <c r="I100" s="165">
        <v>0</v>
      </c>
      <c r="J100" s="122">
        <v>417396955</v>
      </c>
      <c r="K100" s="88" t="s">
        <v>398</v>
      </c>
      <c r="L100" s="163" t="s">
        <v>151</v>
      </c>
      <c r="M100" s="166" t="s">
        <v>401</v>
      </c>
      <c r="N100" s="23" t="s">
        <v>330</v>
      </c>
      <c r="O100" s="144" t="s">
        <v>886</v>
      </c>
      <c r="P100" s="163" t="s">
        <v>161</v>
      </c>
      <c r="Q100" s="53">
        <v>81112100</v>
      </c>
      <c r="R100" s="166" t="s">
        <v>331</v>
      </c>
      <c r="S100" s="166" t="str">
        <f>MID(PAA[[#This Row],[Meta Proyecto de Inversión]],1,4)</f>
        <v>No a</v>
      </c>
      <c r="T100" s="166" t="str">
        <f>MID(PAA[[#This Row],[Meta Proyecto de Inversión]],6,2)</f>
        <v>li</v>
      </c>
      <c r="U100" s="167" t="str">
        <f>IFERROR(VLOOKUP(N100,TD!$B$54:$F$58,2,0)," ")</f>
        <v>NA</v>
      </c>
      <c r="V100" s="167" t="str">
        <f>IFERROR(VLOOKUP(N100,TD!$B$54:$F$58,3,0)," ")</f>
        <v>NA</v>
      </c>
      <c r="W100" s="167" t="str">
        <f>IFERROR(VLOOKUP(N100,TD!$B$54:$F$58,4,0)," ")</f>
        <v>NA</v>
      </c>
      <c r="X100" s="166" t="s">
        <v>335</v>
      </c>
      <c r="Y100" s="167" t="str">
        <f>IFERROR(VLOOKUP(X100,TD!$J$55:$K$68,2,0)," ")</f>
        <v>N/A</v>
      </c>
      <c r="Z100" s="168" t="str">
        <f>CONCATENATE(X100,"-",Y100)</f>
        <v>N/A-N/A</v>
      </c>
      <c r="AA100" s="166" t="s">
        <v>335</v>
      </c>
      <c r="AB100" s="167" t="str">
        <f>IFERROR(VLOOKUP(AA100,TD!$N$55:$O$70,2,0)," ")</f>
        <v>N/A</v>
      </c>
      <c r="AC100" s="168" t="str">
        <f>CONCATENATE(AA100,"_",AB100)</f>
        <v>N/A_N/A</v>
      </c>
      <c r="AD100" s="168" t="str">
        <f>CONCATENATE(Z100," ",AC100)</f>
        <v>N/A-N/A N/A_N/A</v>
      </c>
      <c r="AE100" s="167" t="str">
        <f>CONCATENATE(U100,V100,W100,X100,AA100)</f>
        <v>NANANAN/AN/A</v>
      </c>
      <c r="AF100" s="167" t="str">
        <f>IFERROR(VLOOKUP(AD100,TD!$J$70:$K$93,2,0)," ")</f>
        <v>N/A</v>
      </c>
      <c r="AG100" s="114" t="s">
        <v>344</v>
      </c>
      <c r="AH100" s="166" t="s">
        <v>193</v>
      </c>
      <c r="AI100" s="169" t="str">
        <f>CONCATENATE(PAA[[#This Row],[Id Interno]],"-",PAA[[#This Row],[tipo de Contrato (TH talento humano - B/S bienes y/o servicios)]],"-",S100,"-",T100,"-",PAA[[#This Row],[Objeto de la contratación]])</f>
        <v>20260053-BS-No a-li-Contratar la prestación de servicios de enlaces de datos dedicados principales y de Backup para el fortalecimiento de la infraestructura tecnológica de la UAE cuerpo oficial de bomberos de Bogotá - TIC</v>
      </c>
    </row>
    <row r="101" spans="2:35" ht="70" x14ac:dyDescent="0.35">
      <c r="B101" s="23">
        <v>20260054</v>
      </c>
      <c r="C101" s="97" t="s">
        <v>848</v>
      </c>
      <c r="D101" s="23" t="s">
        <v>88</v>
      </c>
      <c r="E101" s="23" t="s">
        <v>402</v>
      </c>
      <c r="F101" s="163" t="s">
        <v>146</v>
      </c>
      <c r="G101" s="164" t="s">
        <v>376</v>
      </c>
      <c r="H101" s="165">
        <v>12</v>
      </c>
      <c r="I101" s="165">
        <v>0</v>
      </c>
      <c r="J101" s="122">
        <v>87755358</v>
      </c>
      <c r="K101" s="88" t="s">
        <v>398</v>
      </c>
      <c r="L101" s="163" t="s">
        <v>151</v>
      </c>
      <c r="M101" s="166" t="s">
        <v>401</v>
      </c>
      <c r="N101" s="23" t="s">
        <v>330</v>
      </c>
      <c r="O101" s="144" t="s">
        <v>886</v>
      </c>
      <c r="P101" s="163" t="s">
        <v>161</v>
      </c>
      <c r="Q101" s="53" t="s">
        <v>578</v>
      </c>
      <c r="R101" s="166" t="s">
        <v>331</v>
      </c>
      <c r="S101" s="166" t="str">
        <f>MID(PAA[[#This Row],[Meta Proyecto de Inversión]],1,4)</f>
        <v>No a</v>
      </c>
      <c r="T101" s="166" t="str">
        <f>MID(PAA[[#This Row],[Meta Proyecto de Inversión]],6,2)</f>
        <v>li</v>
      </c>
      <c r="U101" s="167" t="str">
        <f>IFERROR(VLOOKUP(N101,TD!$B$54:$F$58,2,0)," ")</f>
        <v>NA</v>
      </c>
      <c r="V101" s="167" t="str">
        <f>IFERROR(VLOOKUP(N101,TD!$B$54:$F$58,3,0)," ")</f>
        <v>NA</v>
      </c>
      <c r="W101" s="167" t="str">
        <f>IFERROR(VLOOKUP(N101,TD!$B$54:$F$58,4,0)," ")</f>
        <v>NA</v>
      </c>
      <c r="X101" s="166" t="s">
        <v>335</v>
      </c>
      <c r="Y101" s="167" t="str">
        <f>IFERROR(VLOOKUP(X101,TD!$J$55:$K$68,2,0)," ")</f>
        <v>N/A</v>
      </c>
      <c r="Z101" s="168" t="str">
        <f>CONCATENATE(X101,"-",Y101)</f>
        <v>N/A-N/A</v>
      </c>
      <c r="AA101" s="166" t="s">
        <v>335</v>
      </c>
      <c r="AB101" s="167" t="str">
        <f>IFERROR(VLOOKUP(AA101,TD!$N$55:$O$70,2,0)," ")</f>
        <v>N/A</v>
      </c>
      <c r="AC101" s="168" t="str">
        <f>CONCATENATE(AA101,"_",AB101)</f>
        <v>N/A_N/A</v>
      </c>
      <c r="AD101" s="168" t="str">
        <f>CONCATENATE(Z101," ",AC101)</f>
        <v>N/A-N/A N/A_N/A</v>
      </c>
      <c r="AE101" s="167" t="str">
        <f>CONCATENATE(U101,V101,W101,X101,AA101)</f>
        <v>NANANAN/AN/A</v>
      </c>
      <c r="AF101" s="167" t="str">
        <f>IFERROR(VLOOKUP(AD101,TD!$J$70:$K$93,2,0)," ")</f>
        <v>N/A</v>
      </c>
      <c r="AG101" s="114" t="s">
        <v>343</v>
      </c>
      <c r="AH101" s="166" t="s">
        <v>194</v>
      </c>
      <c r="AI101" s="169" t="str">
        <f>CONCATENATE(PAA[[#This Row],[Id Interno]],"-",PAA[[#This Row],[tipo de Contrato (TH talento humano - B/S bienes y/o servicios)]],"-",S101,"-",T101,"-",PAA[[#This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102" spans="2:35" ht="56" x14ac:dyDescent="0.35">
      <c r="B102" s="23">
        <v>20260055</v>
      </c>
      <c r="C102" s="97" t="s">
        <v>946</v>
      </c>
      <c r="D102" s="23" t="s">
        <v>88</v>
      </c>
      <c r="E102" s="23" t="s">
        <v>402</v>
      </c>
      <c r="F102" s="163" t="s">
        <v>143</v>
      </c>
      <c r="G102" s="164" t="s">
        <v>378</v>
      </c>
      <c r="H102" s="165">
        <v>12</v>
      </c>
      <c r="I102" s="165">
        <v>0</v>
      </c>
      <c r="J102" s="122">
        <v>100000000</v>
      </c>
      <c r="K102" s="88" t="s">
        <v>398</v>
      </c>
      <c r="L102" s="163" t="s">
        <v>151</v>
      </c>
      <c r="M102" s="166" t="s">
        <v>401</v>
      </c>
      <c r="N102" s="23" t="s">
        <v>330</v>
      </c>
      <c r="O102" s="144" t="s">
        <v>886</v>
      </c>
      <c r="P102" s="163" t="s">
        <v>161</v>
      </c>
      <c r="Q102" s="53" t="s">
        <v>579</v>
      </c>
      <c r="R102" s="166" t="s">
        <v>331</v>
      </c>
      <c r="S102" s="166" t="str">
        <f>MID(PAA[[#This Row],[Meta Proyecto de Inversión]],1,4)</f>
        <v>No a</v>
      </c>
      <c r="T102" s="166" t="str">
        <f>MID(PAA[[#This Row],[Meta Proyecto de Inversión]],6,2)</f>
        <v>li</v>
      </c>
      <c r="U102" s="167" t="str">
        <f>IFERROR(VLOOKUP(N102,TD!$B$54:$F$58,2,0)," ")</f>
        <v>NA</v>
      </c>
      <c r="V102" s="167" t="str">
        <f>IFERROR(VLOOKUP(N102,TD!$B$54:$F$58,3,0)," ")</f>
        <v>NA</v>
      </c>
      <c r="W102" s="167" t="str">
        <f>IFERROR(VLOOKUP(N102,TD!$B$54:$F$58,4,0)," ")</f>
        <v>NA</v>
      </c>
      <c r="X102" s="166" t="s">
        <v>335</v>
      </c>
      <c r="Y102" s="167" t="str">
        <f>IFERROR(VLOOKUP(X102,TD!$J$55:$K$68,2,0)," ")</f>
        <v>N/A</v>
      </c>
      <c r="Z102" s="168" t="str">
        <f>CONCATENATE(X102,"-",Y102)</f>
        <v>N/A-N/A</v>
      </c>
      <c r="AA102" s="166" t="s">
        <v>335</v>
      </c>
      <c r="AB102" s="167" t="str">
        <f>IFERROR(VLOOKUP(AA102,TD!$N$55:$O$70,2,0)," ")</f>
        <v>N/A</v>
      </c>
      <c r="AC102" s="168" t="str">
        <f>CONCATENATE(AA102,"_",AB102)</f>
        <v>N/A_N/A</v>
      </c>
      <c r="AD102" s="168" t="str">
        <f>CONCATENATE(Z102," ",AC102)</f>
        <v>N/A-N/A N/A_N/A</v>
      </c>
      <c r="AE102" s="167" t="str">
        <f>CONCATENATE(U102,V102,W102,X102,AA102)</f>
        <v>NANANAN/AN/A</v>
      </c>
      <c r="AF102" s="167" t="str">
        <f>IFERROR(VLOOKUP(AD102,TD!$J$70:$K$93,2,0)," ")</f>
        <v>N/A</v>
      </c>
      <c r="AG102" s="114" t="s">
        <v>332</v>
      </c>
      <c r="AH102" s="166" t="s">
        <v>194</v>
      </c>
      <c r="AI102" s="169" t="str">
        <f>CONCATENATE(PAA[[#This Row],[Id Interno]],"-",PAA[[#This Row],[tipo de Contrato (TH talento humano - B/S bienes y/o servicios)]],"-",S102,"-",T102,"-",PAA[[#This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103" spans="2:35" ht="112" x14ac:dyDescent="0.35">
      <c r="B103" s="23">
        <v>20260056</v>
      </c>
      <c r="C103" s="97" t="s">
        <v>576</v>
      </c>
      <c r="D103" s="23" t="s">
        <v>92</v>
      </c>
      <c r="E103" s="23" t="s">
        <v>402</v>
      </c>
      <c r="F103" s="163" t="s">
        <v>138</v>
      </c>
      <c r="G103" s="164" t="s">
        <v>375</v>
      </c>
      <c r="H103" s="165">
        <v>12</v>
      </c>
      <c r="I103" s="165">
        <v>0</v>
      </c>
      <c r="J103" s="122">
        <v>785000</v>
      </c>
      <c r="K103" s="88" t="s">
        <v>398</v>
      </c>
      <c r="L103" s="163" t="s">
        <v>151</v>
      </c>
      <c r="M103" s="166" t="s">
        <v>401</v>
      </c>
      <c r="N103" s="23" t="s">
        <v>330</v>
      </c>
      <c r="O103" s="144" t="s">
        <v>886</v>
      </c>
      <c r="P103" s="163" t="s">
        <v>161</v>
      </c>
      <c r="Q103" s="53">
        <v>43233205</v>
      </c>
      <c r="R103" s="166" t="s">
        <v>331</v>
      </c>
      <c r="S103" s="166" t="str">
        <f>MID(PAA[[#This Row],[Meta Proyecto de Inversión]],1,4)</f>
        <v>No a</v>
      </c>
      <c r="T103" s="166" t="str">
        <f>MID(PAA[[#This Row],[Meta Proyecto de Inversión]],6,2)</f>
        <v>li</v>
      </c>
      <c r="U103" s="167" t="str">
        <f>IFERROR(VLOOKUP(N103,TD!$B$54:$F$58,2,0)," ")</f>
        <v>NA</v>
      </c>
      <c r="V103" s="167" t="str">
        <f>IFERROR(VLOOKUP(N103,TD!$B$54:$F$58,3,0)," ")</f>
        <v>NA</v>
      </c>
      <c r="W103" s="167" t="str">
        <f>IFERROR(VLOOKUP(N103,TD!$B$54:$F$58,4,0)," ")</f>
        <v>NA</v>
      </c>
      <c r="X103" s="166" t="s">
        <v>335</v>
      </c>
      <c r="Y103" s="167" t="str">
        <f>IFERROR(VLOOKUP(X103,TD!$J$55:$K$68,2,0)," ")</f>
        <v>N/A</v>
      </c>
      <c r="Z103" s="168" t="str">
        <f>CONCATENATE(X103,"-",Y103)</f>
        <v>N/A-N/A</v>
      </c>
      <c r="AA103" s="166" t="s">
        <v>335</v>
      </c>
      <c r="AB103" s="167" t="str">
        <f>IFERROR(VLOOKUP(AA103,TD!$N$55:$O$70,2,0)," ")</f>
        <v>N/A</v>
      </c>
      <c r="AC103" s="168" t="str">
        <f>CONCATENATE(AA103,"_",AB103)</f>
        <v>N/A_N/A</v>
      </c>
      <c r="AD103" s="168" t="str">
        <f>CONCATENATE(Z103," ",AC103)</f>
        <v>N/A-N/A N/A_N/A</v>
      </c>
      <c r="AE103" s="167" t="str">
        <f>CONCATENATE(U103,V103,W103,X103,AA103)</f>
        <v>NANANAN/AN/A</v>
      </c>
      <c r="AF103" s="167" t="str">
        <f>IFERROR(VLOOKUP(AD103,TD!$J$70:$K$93,2,0)," ")</f>
        <v>N/A</v>
      </c>
      <c r="AG103" s="114" t="s">
        <v>332</v>
      </c>
      <c r="AH103" s="166" t="s">
        <v>193</v>
      </c>
      <c r="AI103" s="169" t="str">
        <f>CONCATENATE(PAA[[#This Row],[Id Interno]],"-",PAA[[#This Row],[tipo de Contrato (TH talento humano - B/S bienes y/o servicios)]],"-",S103,"-",T103,"-",PAA[[#This Row],[Objeto de la contratación]])</f>
        <v>20260056-BS-No a-li-Contratar la adquisición de firma digital (token) para la U.A.E. Cuerpo Oficial de Bomberos de Bogotá - TIC</v>
      </c>
    </row>
    <row r="104" spans="2:35" ht="70" x14ac:dyDescent="0.35">
      <c r="B104" s="23">
        <v>20260057</v>
      </c>
      <c r="C104" s="97" t="s">
        <v>793</v>
      </c>
      <c r="D104" s="23" t="s">
        <v>105</v>
      </c>
      <c r="E104" s="23" t="s">
        <v>363</v>
      </c>
      <c r="F104" s="163" t="s">
        <v>145</v>
      </c>
      <c r="G104" s="164" t="s">
        <v>373</v>
      </c>
      <c r="H104" s="165">
        <v>12</v>
      </c>
      <c r="I104" s="165">
        <v>0</v>
      </c>
      <c r="J104" s="122">
        <v>45042216</v>
      </c>
      <c r="K104" s="88" t="s">
        <v>398</v>
      </c>
      <c r="L104" s="163" t="s">
        <v>36</v>
      </c>
      <c r="M104" s="166" t="s">
        <v>468</v>
      </c>
      <c r="N104" s="23" t="s">
        <v>197</v>
      </c>
      <c r="O104" s="144" t="s">
        <v>886</v>
      </c>
      <c r="P104" s="163" t="s">
        <v>348</v>
      </c>
      <c r="Q104" s="53">
        <v>80111600</v>
      </c>
      <c r="R104" s="166" t="s">
        <v>200</v>
      </c>
      <c r="S104" s="166" t="str">
        <f>MID(PAA[[#This Row],[Meta Proyecto de Inversión]],1,4)</f>
        <v>8126</v>
      </c>
      <c r="T104" s="166" t="str">
        <f>MID(PAA[[#This Row],[Meta Proyecto de Inversión]],6,2)</f>
        <v>1-</v>
      </c>
      <c r="U104" s="167" t="str">
        <f>IFERROR(VLOOKUP(N104,TD!$B$54:$F$58,2,0)," ")</f>
        <v>O230117</v>
      </c>
      <c r="V104" s="167" t="str">
        <f>IFERROR(VLOOKUP(N104,TD!$B$54:$F$58,3,0)," ")</f>
        <v>4599</v>
      </c>
      <c r="W104" s="167">
        <f>IFERROR(VLOOKUP(N104,TD!$B$54:$F$58,4,0)," ")</f>
        <v>20240207</v>
      </c>
      <c r="X104" s="166" t="s">
        <v>182</v>
      </c>
      <c r="Y104" s="167" t="str">
        <f>IFERROR(VLOOKUP(X104,TD!$J$55:$K$68,2,0)," ")</f>
        <v>Servicios para la planeación y sistemas de gestión y comunicación estratégica</v>
      </c>
      <c r="Z104" s="168" t="str">
        <f>CONCATENATE(X104,"-",Y104)</f>
        <v>13-Servicios para la planeación y sistemas de gestión y comunicación estratégica</v>
      </c>
      <c r="AA104" s="166" t="s">
        <v>229</v>
      </c>
      <c r="AB104" s="167" t="str">
        <f>IFERROR(VLOOKUP(AA104,TD!$N$55:$O$70,2,0)," ")</f>
        <v>Servicio de asistencia técnica</v>
      </c>
      <c r="AC104" s="168" t="str">
        <f>CONCATENATE(AA104,"_",AB104)</f>
        <v>031_Servicio de asistencia técnica</v>
      </c>
      <c r="AD104" s="168" t="str">
        <f>CONCATENATE(Z104," ",AC104)</f>
        <v>13-Servicios para la planeación y sistemas de gestión y comunicación estratégica 031_Servicio de asistencia técnica</v>
      </c>
      <c r="AE104" s="167" t="str">
        <f>CONCATENATE(U104,V104,W104,X104,AA104)</f>
        <v>O23011745992024020713031</v>
      </c>
      <c r="AF104" s="167" t="str">
        <f>IFERROR(VLOOKUP(AD104,TD!$J$70:$K$93,2,0)," ")</f>
        <v>PM/0131/0113/45990310207</v>
      </c>
      <c r="AG104" s="114" t="s">
        <v>385</v>
      </c>
      <c r="AH104" s="166" t="s">
        <v>193</v>
      </c>
      <c r="AI104" s="169" t="str">
        <f>CONCATENATE(PAA[[#This Row],[Id Interno]],"-",PAA[[#This Row],[tipo de Contrato (TH talento humano - B/S bienes y/o servicios)]],"-",S104,"-",T104,"-",PAA[[#This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105" spans="2:35" ht="28" x14ac:dyDescent="0.35">
      <c r="B105" s="23">
        <v>20260058</v>
      </c>
      <c r="C105" s="97" t="s">
        <v>580</v>
      </c>
      <c r="D105" s="23" t="s">
        <v>105</v>
      </c>
      <c r="E105" s="23" t="s">
        <v>363</v>
      </c>
      <c r="F105" s="163" t="s">
        <v>144</v>
      </c>
      <c r="G105" s="164" t="s">
        <v>373</v>
      </c>
      <c r="H105" s="165">
        <v>6</v>
      </c>
      <c r="I105" s="165">
        <v>0</v>
      </c>
      <c r="J105" s="122">
        <v>39000000</v>
      </c>
      <c r="K105" s="88" t="s">
        <v>398</v>
      </c>
      <c r="L105" s="163" t="s">
        <v>36</v>
      </c>
      <c r="M105" s="166" t="s">
        <v>468</v>
      </c>
      <c r="N105" s="23" t="s">
        <v>197</v>
      </c>
      <c r="O105" s="144" t="s">
        <v>886</v>
      </c>
      <c r="P105" s="163" t="s">
        <v>348</v>
      </c>
      <c r="Q105" s="53">
        <v>80111600</v>
      </c>
      <c r="R105" s="166" t="s">
        <v>201</v>
      </c>
      <c r="S105" s="166" t="str">
        <f>MID(PAA[[#This Row],[Meta Proyecto de Inversión]],1,4)</f>
        <v>8126</v>
      </c>
      <c r="T105" s="166" t="str">
        <f>MID(PAA[[#This Row],[Meta Proyecto de Inversión]],6,2)</f>
        <v>2-</v>
      </c>
      <c r="U105" s="167" t="str">
        <f>IFERROR(VLOOKUP(N105,TD!$B$54:$F$58,2,0)," ")</f>
        <v>O230117</v>
      </c>
      <c r="V105" s="167" t="str">
        <f>IFERROR(VLOOKUP(N105,TD!$B$54:$F$58,3,0)," ")</f>
        <v>4599</v>
      </c>
      <c r="W105" s="167">
        <f>IFERROR(VLOOKUP(N105,TD!$B$54:$F$58,4,0)," ")</f>
        <v>20240207</v>
      </c>
      <c r="X105" s="166" t="s">
        <v>182</v>
      </c>
      <c r="Y105" s="167" t="str">
        <f>IFERROR(VLOOKUP(X105,TD!$J$55:$K$68,2,0)," ")</f>
        <v>Servicios para la planeación y sistemas de gestión y comunicación estratégica</v>
      </c>
      <c r="Z105" s="168" t="str">
        <f>CONCATENATE(X105,"-",Y105)</f>
        <v>13-Servicios para la planeación y sistemas de gestión y comunicación estratégica</v>
      </c>
      <c r="AA105" s="166" t="s">
        <v>229</v>
      </c>
      <c r="AB105" s="167" t="str">
        <f>IFERROR(VLOOKUP(AA105,TD!$N$55:$O$70,2,0)," ")</f>
        <v>Servicio de asistencia técnica</v>
      </c>
      <c r="AC105" s="168" t="str">
        <f>CONCATENATE(AA105,"_",AB105)</f>
        <v>031_Servicio de asistencia técnica</v>
      </c>
      <c r="AD105" s="168" t="str">
        <f>CONCATENATE(Z105," ",AC105)</f>
        <v>13-Servicios para la planeación y sistemas de gestión y comunicación estratégica 031_Servicio de asistencia técnica</v>
      </c>
      <c r="AE105" s="167" t="str">
        <f>CONCATENATE(U105,V105,W105,X105,AA105)</f>
        <v>O23011745992024020713031</v>
      </c>
      <c r="AF105" s="167" t="str">
        <f>IFERROR(VLOOKUP(AD105,TD!$J$70:$K$93,2,0)," ")</f>
        <v>PM/0131/0113/45990310207</v>
      </c>
      <c r="AG105" s="114" t="s">
        <v>385</v>
      </c>
      <c r="AH105" s="166" t="s">
        <v>193</v>
      </c>
      <c r="AI105" s="169" t="str">
        <f>CONCATENATE(PAA[[#This Row],[Id Interno]],"-",PAA[[#This Row],[tipo de Contrato (TH talento humano - B/S bienes y/o servicios)]],"-",S105,"-",T105,"-",PAA[[#This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106" spans="2:35" ht="70" x14ac:dyDescent="0.35">
      <c r="B106" s="23">
        <v>20260059</v>
      </c>
      <c r="C106" s="97" t="s">
        <v>794</v>
      </c>
      <c r="D106" s="23" t="s">
        <v>105</v>
      </c>
      <c r="E106" s="23" t="s">
        <v>363</v>
      </c>
      <c r="F106" s="163" t="s">
        <v>145</v>
      </c>
      <c r="G106" s="164" t="s">
        <v>373</v>
      </c>
      <c r="H106" s="165">
        <v>12</v>
      </c>
      <c r="I106" s="165">
        <v>0</v>
      </c>
      <c r="J106" s="122">
        <f>64612464-10722672</f>
        <v>53889792</v>
      </c>
      <c r="K106" s="88" t="s">
        <v>398</v>
      </c>
      <c r="L106" s="163" t="s">
        <v>36</v>
      </c>
      <c r="M106" s="166" t="s">
        <v>468</v>
      </c>
      <c r="N106" s="23" t="s">
        <v>197</v>
      </c>
      <c r="O106" s="144" t="s">
        <v>886</v>
      </c>
      <c r="P106" s="163" t="s">
        <v>348</v>
      </c>
      <c r="Q106" s="53">
        <v>80111600</v>
      </c>
      <c r="R106" s="166" t="s">
        <v>200</v>
      </c>
      <c r="S106" s="166" t="str">
        <f>MID(PAA[[#This Row],[Meta Proyecto de Inversión]],1,4)</f>
        <v>8126</v>
      </c>
      <c r="T106" s="166" t="str">
        <f>MID(PAA[[#This Row],[Meta Proyecto de Inversión]],6,2)</f>
        <v>1-</v>
      </c>
      <c r="U106" s="167" t="str">
        <f>IFERROR(VLOOKUP(N106,TD!$B$54:$F$58,2,0)," ")</f>
        <v>O230117</v>
      </c>
      <c r="V106" s="167" t="str">
        <f>IFERROR(VLOOKUP(N106,TD!$B$54:$F$58,3,0)," ")</f>
        <v>4599</v>
      </c>
      <c r="W106" s="167">
        <f>IFERROR(VLOOKUP(N106,TD!$B$54:$F$58,4,0)," ")</f>
        <v>20240207</v>
      </c>
      <c r="X106" s="166" t="s">
        <v>182</v>
      </c>
      <c r="Y106" s="167" t="str">
        <f>IFERROR(VLOOKUP(X106,TD!$J$55:$K$68,2,0)," ")</f>
        <v>Servicios para la planeación y sistemas de gestión y comunicación estratégica</v>
      </c>
      <c r="Z106" s="168" t="str">
        <f>CONCATENATE(X106,"-",Y106)</f>
        <v>13-Servicios para la planeación y sistemas de gestión y comunicación estratégica</v>
      </c>
      <c r="AA106" s="166" t="s">
        <v>229</v>
      </c>
      <c r="AB106" s="167" t="str">
        <f>IFERROR(VLOOKUP(AA106,TD!$N$55:$O$70,2,0)," ")</f>
        <v>Servicio de asistencia técnica</v>
      </c>
      <c r="AC106" s="168" t="str">
        <f>CONCATENATE(AA106,"_",AB106)</f>
        <v>031_Servicio de asistencia técnica</v>
      </c>
      <c r="AD106" s="168" t="str">
        <f>CONCATENATE(Z106," ",AC106)</f>
        <v>13-Servicios para la planeación y sistemas de gestión y comunicación estratégica 031_Servicio de asistencia técnica</v>
      </c>
      <c r="AE106" s="167" t="str">
        <f>CONCATENATE(U106,V106,W106,X106,AA106)</f>
        <v>O23011745992024020713031</v>
      </c>
      <c r="AF106" s="167" t="str">
        <f>IFERROR(VLOOKUP(AD106,TD!$J$70:$K$93,2,0)," ")</f>
        <v>PM/0131/0113/45990310207</v>
      </c>
      <c r="AG106" s="114" t="s">
        <v>385</v>
      </c>
      <c r="AH106" s="166" t="s">
        <v>193</v>
      </c>
      <c r="AI106" s="169" t="str">
        <f>CONCATENATE(PAA[[#This Row],[Id Interno]],"-",PAA[[#This Row],[tipo de Contrato (TH talento humano - B/S bienes y/o servicios)]],"-",S106,"-",T106,"-",PAA[[#This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107" spans="2:35" ht="126" x14ac:dyDescent="0.35">
      <c r="B107" s="23">
        <v>20260060</v>
      </c>
      <c r="C107" s="97" t="s">
        <v>795</v>
      </c>
      <c r="D107" s="23" t="s">
        <v>105</v>
      </c>
      <c r="E107" s="23" t="s">
        <v>363</v>
      </c>
      <c r="F107" s="163" t="s">
        <v>144</v>
      </c>
      <c r="G107" s="164" t="s">
        <v>373</v>
      </c>
      <c r="H107" s="165">
        <v>11</v>
      </c>
      <c r="I107" s="165">
        <v>0</v>
      </c>
      <c r="J107" s="122">
        <f>114000000-4000000</f>
        <v>110000000</v>
      </c>
      <c r="K107" s="88" t="s">
        <v>398</v>
      </c>
      <c r="L107" s="163" t="s">
        <v>36</v>
      </c>
      <c r="M107" s="166" t="s">
        <v>468</v>
      </c>
      <c r="N107" s="23" t="s">
        <v>197</v>
      </c>
      <c r="O107" s="144" t="s">
        <v>886</v>
      </c>
      <c r="P107" s="163" t="s">
        <v>348</v>
      </c>
      <c r="Q107" s="53">
        <v>80111600</v>
      </c>
      <c r="R107" s="166" t="s">
        <v>200</v>
      </c>
      <c r="S107" s="166" t="str">
        <f>MID(PAA[[#This Row],[Meta Proyecto de Inversión]],1,4)</f>
        <v>8126</v>
      </c>
      <c r="T107" s="166" t="str">
        <f>MID(PAA[[#This Row],[Meta Proyecto de Inversión]],6,2)</f>
        <v>1-</v>
      </c>
      <c r="U107" s="167" t="str">
        <f>IFERROR(VLOOKUP(N107,TD!$B$54:$F$58,2,0)," ")</f>
        <v>O230117</v>
      </c>
      <c r="V107" s="167" t="str">
        <f>IFERROR(VLOOKUP(N107,TD!$B$54:$F$58,3,0)," ")</f>
        <v>4599</v>
      </c>
      <c r="W107" s="167">
        <f>IFERROR(VLOOKUP(N107,TD!$B$54:$F$58,4,0)," ")</f>
        <v>20240207</v>
      </c>
      <c r="X107" s="166" t="s">
        <v>182</v>
      </c>
      <c r="Y107" s="167" t="str">
        <f>IFERROR(VLOOKUP(X107,TD!$J$55:$K$68,2,0)," ")</f>
        <v>Servicios para la planeación y sistemas de gestión y comunicación estratégica</v>
      </c>
      <c r="Z107" s="168" t="str">
        <f>CONCATENATE(X107,"-",Y107)</f>
        <v>13-Servicios para la planeación y sistemas de gestión y comunicación estratégica</v>
      </c>
      <c r="AA107" s="166" t="s">
        <v>229</v>
      </c>
      <c r="AB107" s="167" t="str">
        <f>IFERROR(VLOOKUP(AA107,TD!$N$55:$O$70,2,0)," ")</f>
        <v>Servicio de asistencia técnica</v>
      </c>
      <c r="AC107" s="168" t="str">
        <f>CONCATENATE(AA107,"_",AB107)</f>
        <v>031_Servicio de asistencia técnica</v>
      </c>
      <c r="AD107" s="168" t="str">
        <f>CONCATENATE(Z107," ",AC107)</f>
        <v>13-Servicios para la planeación y sistemas de gestión y comunicación estratégica 031_Servicio de asistencia técnica</v>
      </c>
      <c r="AE107" s="167" t="str">
        <f>CONCATENATE(U107,V107,W107,X107,AA107)</f>
        <v>O23011745992024020713031</v>
      </c>
      <c r="AF107" s="167" t="str">
        <f>IFERROR(VLOOKUP(AD107,TD!$J$70:$K$93,2,0)," ")</f>
        <v>PM/0131/0113/45990310207</v>
      </c>
      <c r="AG107" s="114" t="s">
        <v>385</v>
      </c>
      <c r="AH107" s="166" t="s">
        <v>193</v>
      </c>
      <c r="AI107" s="169" t="str">
        <f>CONCATENATE(PAA[[#This Row],[Id Interno]],"-",PAA[[#This Row],[tipo de Contrato (TH talento humano - B/S bienes y/o servicios)]],"-",S107,"-",T107,"-",PAA[[#This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108" spans="2:35" ht="70" x14ac:dyDescent="0.35">
      <c r="B108" s="23">
        <v>20260061</v>
      </c>
      <c r="C108" s="97" t="s">
        <v>796</v>
      </c>
      <c r="D108" s="23" t="s">
        <v>105</v>
      </c>
      <c r="E108" s="23" t="s">
        <v>363</v>
      </c>
      <c r="F108" s="163" t="s">
        <v>144</v>
      </c>
      <c r="G108" s="164" t="s">
        <v>373</v>
      </c>
      <c r="H108" s="165">
        <v>6</v>
      </c>
      <c r="I108" s="165">
        <v>0</v>
      </c>
      <c r="J108" s="122">
        <v>42000000</v>
      </c>
      <c r="K108" s="88" t="s">
        <v>398</v>
      </c>
      <c r="L108" s="163" t="s">
        <v>36</v>
      </c>
      <c r="M108" s="166" t="s">
        <v>468</v>
      </c>
      <c r="N108" s="23" t="s">
        <v>197</v>
      </c>
      <c r="O108" s="144" t="s">
        <v>886</v>
      </c>
      <c r="P108" s="163" t="s">
        <v>348</v>
      </c>
      <c r="Q108" s="53">
        <v>80111600</v>
      </c>
      <c r="R108" s="166" t="s">
        <v>200</v>
      </c>
      <c r="S108" s="166" t="str">
        <f>MID(PAA[[#This Row],[Meta Proyecto de Inversión]],1,4)</f>
        <v>8126</v>
      </c>
      <c r="T108" s="166" t="str">
        <f>MID(PAA[[#This Row],[Meta Proyecto de Inversión]],6,2)</f>
        <v>1-</v>
      </c>
      <c r="U108" s="167" t="str">
        <f>IFERROR(VLOOKUP(N108,TD!$B$54:$F$58,2,0)," ")</f>
        <v>O230117</v>
      </c>
      <c r="V108" s="167" t="str">
        <f>IFERROR(VLOOKUP(N108,TD!$B$54:$F$58,3,0)," ")</f>
        <v>4599</v>
      </c>
      <c r="W108" s="167">
        <f>IFERROR(VLOOKUP(N108,TD!$B$54:$F$58,4,0)," ")</f>
        <v>20240207</v>
      </c>
      <c r="X108" s="166" t="s">
        <v>182</v>
      </c>
      <c r="Y108" s="167" t="str">
        <f>IFERROR(VLOOKUP(X108,TD!$J$55:$K$68,2,0)," ")</f>
        <v>Servicios para la planeación y sistemas de gestión y comunicación estratégica</v>
      </c>
      <c r="Z108" s="168" t="str">
        <f>CONCATENATE(X108,"-",Y108)</f>
        <v>13-Servicios para la planeación y sistemas de gestión y comunicación estratégica</v>
      </c>
      <c r="AA108" s="166" t="s">
        <v>229</v>
      </c>
      <c r="AB108" s="167" t="str">
        <f>IFERROR(VLOOKUP(AA108,TD!$N$55:$O$70,2,0)," ")</f>
        <v>Servicio de asistencia técnica</v>
      </c>
      <c r="AC108" s="168" t="str">
        <f>CONCATENATE(AA108,"_",AB108)</f>
        <v>031_Servicio de asistencia técnica</v>
      </c>
      <c r="AD108" s="168" t="str">
        <f>CONCATENATE(Z108," ",AC108)</f>
        <v>13-Servicios para la planeación y sistemas de gestión y comunicación estratégica 031_Servicio de asistencia técnica</v>
      </c>
      <c r="AE108" s="167" t="str">
        <f>CONCATENATE(U108,V108,W108,X108,AA108)</f>
        <v>O23011745992024020713031</v>
      </c>
      <c r="AF108" s="167" t="str">
        <f>IFERROR(VLOOKUP(AD108,TD!$J$70:$K$93,2,0)," ")</f>
        <v>PM/0131/0113/45990310207</v>
      </c>
      <c r="AG108" s="114" t="s">
        <v>385</v>
      </c>
      <c r="AH108" s="166" t="s">
        <v>193</v>
      </c>
      <c r="AI108" s="169" t="str">
        <f>CONCATENATE(PAA[[#This Row],[Id Interno]],"-",PAA[[#This Row],[tipo de Contrato (TH talento humano - B/S bienes y/o servicios)]],"-",S108,"-",T108,"-",PAA[[#This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109" spans="2:35" ht="70" x14ac:dyDescent="0.35">
      <c r="B109" s="23">
        <v>20260062</v>
      </c>
      <c r="C109" s="97" t="s">
        <v>797</v>
      </c>
      <c r="D109" s="23" t="s">
        <v>105</v>
      </c>
      <c r="E109" s="23" t="s">
        <v>363</v>
      </c>
      <c r="F109" s="163" t="s">
        <v>144</v>
      </c>
      <c r="G109" s="164" t="s">
        <v>373</v>
      </c>
      <c r="H109" s="165">
        <v>12</v>
      </c>
      <c r="I109" s="165">
        <v>0</v>
      </c>
      <c r="J109" s="122">
        <v>96000000</v>
      </c>
      <c r="K109" s="88" t="s">
        <v>398</v>
      </c>
      <c r="L109" s="163" t="s">
        <v>36</v>
      </c>
      <c r="M109" s="166" t="s">
        <v>468</v>
      </c>
      <c r="N109" s="23" t="s">
        <v>197</v>
      </c>
      <c r="O109" s="144" t="s">
        <v>886</v>
      </c>
      <c r="P109" s="163" t="s">
        <v>348</v>
      </c>
      <c r="Q109" s="53">
        <v>80111600</v>
      </c>
      <c r="R109" s="166" t="s">
        <v>200</v>
      </c>
      <c r="S109" s="166" t="str">
        <f>MID(PAA[[#This Row],[Meta Proyecto de Inversión]],1,4)</f>
        <v>8126</v>
      </c>
      <c r="T109" s="166" t="str">
        <f>MID(PAA[[#This Row],[Meta Proyecto de Inversión]],6,2)</f>
        <v>1-</v>
      </c>
      <c r="U109" s="167" t="str">
        <f>IFERROR(VLOOKUP(N109,TD!$B$54:$F$58,2,0)," ")</f>
        <v>O230117</v>
      </c>
      <c r="V109" s="167" t="str">
        <f>IFERROR(VLOOKUP(N109,TD!$B$54:$F$58,3,0)," ")</f>
        <v>4599</v>
      </c>
      <c r="W109" s="167">
        <f>IFERROR(VLOOKUP(N109,TD!$B$54:$F$58,4,0)," ")</f>
        <v>20240207</v>
      </c>
      <c r="X109" s="166" t="s">
        <v>182</v>
      </c>
      <c r="Y109" s="167" t="str">
        <f>IFERROR(VLOOKUP(X109,TD!$J$55:$K$68,2,0)," ")</f>
        <v>Servicios para la planeación y sistemas de gestión y comunicación estratégica</v>
      </c>
      <c r="Z109" s="168" t="str">
        <f>CONCATENATE(X109,"-",Y109)</f>
        <v>13-Servicios para la planeación y sistemas de gestión y comunicación estratégica</v>
      </c>
      <c r="AA109" s="166" t="s">
        <v>229</v>
      </c>
      <c r="AB109" s="167" t="str">
        <f>IFERROR(VLOOKUP(AA109,TD!$N$55:$O$70,2,0)," ")</f>
        <v>Servicio de asistencia técnica</v>
      </c>
      <c r="AC109" s="168" t="str">
        <f>CONCATENATE(AA109,"_",AB109)</f>
        <v>031_Servicio de asistencia técnica</v>
      </c>
      <c r="AD109" s="168" t="str">
        <f>CONCATENATE(Z109," ",AC109)</f>
        <v>13-Servicios para la planeación y sistemas de gestión y comunicación estratégica 031_Servicio de asistencia técnica</v>
      </c>
      <c r="AE109" s="167" t="str">
        <f>CONCATENATE(U109,V109,W109,X109,AA109)</f>
        <v>O23011745992024020713031</v>
      </c>
      <c r="AF109" s="167" t="str">
        <f>IFERROR(VLOOKUP(AD109,TD!$J$70:$K$93,2,0)," ")</f>
        <v>PM/0131/0113/45990310207</v>
      </c>
      <c r="AG109" s="114" t="s">
        <v>385</v>
      </c>
      <c r="AH109" s="166" t="s">
        <v>193</v>
      </c>
      <c r="AI109" s="169" t="str">
        <f>CONCATENATE(PAA[[#This Row],[Id Interno]],"-",PAA[[#This Row],[tipo de Contrato (TH talento humano - B/S bienes y/o servicios)]],"-",S109,"-",T109,"-",PAA[[#This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110" spans="2:35" ht="98" x14ac:dyDescent="0.35">
      <c r="B110" s="23">
        <v>20260063</v>
      </c>
      <c r="C110" s="97" t="s">
        <v>798</v>
      </c>
      <c r="D110" s="23" t="s">
        <v>105</v>
      </c>
      <c r="E110" s="23" t="s">
        <v>363</v>
      </c>
      <c r="F110" s="163" t="s">
        <v>144</v>
      </c>
      <c r="G110" s="164" t="s">
        <v>373</v>
      </c>
      <c r="H110" s="165">
        <v>12</v>
      </c>
      <c r="I110" s="165">
        <v>0</v>
      </c>
      <c r="J110" s="122">
        <v>108000000</v>
      </c>
      <c r="K110" s="88" t="s">
        <v>398</v>
      </c>
      <c r="L110" s="163" t="s">
        <v>36</v>
      </c>
      <c r="M110" s="166" t="s">
        <v>468</v>
      </c>
      <c r="N110" s="23" t="s">
        <v>197</v>
      </c>
      <c r="O110" s="144" t="s">
        <v>886</v>
      </c>
      <c r="P110" s="163" t="s">
        <v>348</v>
      </c>
      <c r="Q110" s="53">
        <v>80111600</v>
      </c>
      <c r="R110" s="166" t="s">
        <v>200</v>
      </c>
      <c r="S110" s="166" t="str">
        <f>MID(PAA[[#This Row],[Meta Proyecto de Inversión]],1,4)</f>
        <v>8126</v>
      </c>
      <c r="T110" s="166" t="str">
        <f>MID(PAA[[#This Row],[Meta Proyecto de Inversión]],6,2)</f>
        <v>1-</v>
      </c>
      <c r="U110" s="167" t="str">
        <f>IFERROR(VLOOKUP(N110,TD!$B$54:$F$58,2,0)," ")</f>
        <v>O230117</v>
      </c>
      <c r="V110" s="167" t="str">
        <f>IFERROR(VLOOKUP(N110,TD!$B$54:$F$58,3,0)," ")</f>
        <v>4599</v>
      </c>
      <c r="W110" s="167">
        <f>IFERROR(VLOOKUP(N110,TD!$B$54:$F$58,4,0)," ")</f>
        <v>20240207</v>
      </c>
      <c r="X110" s="166" t="s">
        <v>182</v>
      </c>
      <c r="Y110" s="167" t="str">
        <f>IFERROR(VLOOKUP(X110,TD!$J$55:$K$68,2,0)," ")</f>
        <v>Servicios para la planeación y sistemas de gestión y comunicación estratégica</v>
      </c>
      <c r="Z110" s="168" t="str">
        <f>CONCATENATE(X110,"-",Y110)</f>
        <v>13-Servicios para la planeación y sistemas de gestión y comunicación estratégica</v>
      </c>
      <c r="AA110" s="166" t="s">
        <v>230</v>
      </c>
      <c r="AB110" s="167" t="str">
        <f>IFERROR(VLOOKUP(AA110,TD!$N$55:$O$70,2,0)," ")</f>
        <v>Servicio de Implementación Sistemas de Gestión</v>
      </c>
      <c r="AC110" s="168" t="str">
        <f>CONCATENATE(AA110,"_",AB110)</f>
        <v>023_Servicio de Implementación Sistemas de Gestión</v>
      </c>
      <c r="AD110" s="168" t="str">
        <f>CONCATENATE(Z110," ",AC110)</f>
        <v>13-Servicios para la planeación y sistemas de gestión y comunicación estratégica 023_Servicio de Implementación Sistemas de Gestión</v>
      </c>
      <c r="AE110" s="167" t="str">
        <f>CONCATENATE(U110,V110,W110,X110,AA110)</f>
        <v>O23011745992024020713023</v>
      </c>
      <c r="AF110" s="167" t="str">
        <f>IFERROR(VLOOKUP(AD110,TD!$J$70:$K$93,2,0)," ")</f>
        <v>PM/0131/0113/45990230207</v>
      </c>
      <c r="AG110" s="114" t="s">
        <v>385</v>
      </c>
      <c r="AH110" s="166" t="s">
        <v>193</v>
      </c>
      <c r="AI110" s="169" t="str">
        <f>CONCATENATE(PAA[[#This Row],[Id Interno]],"-",PAA[[#This Row],[tipo de Contrato (TH talento humano - B/S bienes y/o servicios)]],"-",S110,"-",T110,"-",PAA[[#This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111" spans="2:35" ht="84" x14ac:dyDescent="0.35">
      <c r="B111" s="23">
        <v>20260064</v>
      </c>
      <c r="C111" s="97" t="s">
        <v>799</v>
      </c>
      <c r="D111" s="23" t="s">
        <v>105</v>
      </c>
      <c r="E111" s="23" t="s">
        <v>363</v>
      </c>
      <c r="F111" s="163" t="s">
        <v>144</v>
      </c>
      <c r="G111" s="164" t="s">
        <v>373</v>
      </c>
      <c r="H111" s="165">
        <v>12</v>
      </c>
      <c r="I111" s="165">
        <v>0</v>
      </c>
      <c r="J111" s="122">
        <v>90000000</v>
      </c>
      <c r="K111" s="88" t="s">
        <v>398</v>
      </c>
      <c r="L111" s="163" t="s">
        <v>36</v>
      </c>
      <c r="M111" s="166" t="s">
        <v>468</v>
      </c>
      <c r="N111" s="23" t="s">
        <v>197</v>
      </c>
      <c r="O111" s="144" t="s">
        <v>886</v>
      </c>
      <c r="P111" s="163" t="s">
        <v>348</v>
      </c>
      <c r="Q111" s="53">
        <v>80111600</v>
      </c>
      <c r="R111" s="166" t="s">
        <v>201</v>
      </c>
      <c r="S111" s="166" t="str">
        <f>MID(PAA[[#This Row],[Meta Proyecto de Inversión]],1,4)</f>
        <v>8126</v>
      </c>
      <c r="T111" s="166" t="str">
        <f>MID(PAA[[#This Row],[Meta Proyecto de Inversión]],6,2)</f>
        <v>2-</v>
      </c>
      <c r="U111" s="167" t="str">
        <f>IFERROR(VLOOKUP(N111,TD!$B$54:$F$58,2,0)," ")</f>
        <v>O230117</v>
      </c>
      <c r="V111" s="167" t="str">
        <f>IFERROR(VLOOKUP(N111,TD!$B$54:$F$58,3,0)," ")</f>
        <v>4599</v>
      </c>
      <c r="W111" s="167">
        <f>IFERROR(VLOOKUP(N111,TD!$B$54:$F$58,4,0)," ")</f>
        <v>20240207</v>
      </c>
      <c r="X111" s="166" t="s">
        <v>182</v>
      </c>
      <c r="Y111" s="167" t="str">
        <f>IFERROR(VLOOKUP(X111,TD!$J$55:$K$68,2,0)," ")</f>
        <v>Servicios para la planeación y sistemas de gestión y comunicación estratégica</v>
      </c>
      <c r="Z111" s="168" t="str">
        <f>CONCATENATE(X111,"-",Y111)</f>
        <v>13-Servicios para la planeación y sistemas de gestión y comunicación estratégica</v>
      </c>
      <c r="AA111" s="166" t="s">
        <v>230</v>
      </c>
      <c r="AB111" s="167" t="str">
        <f>IFERROR(VLOOKUP(AA111,TD!$N$55:$O$70,2,0)," ")</f>
        <v>Servicio de Implementación Sistemas de Gestión</v>
      </c>
      <c r="AC111" s="168" t="str">
        <f>CONCATENATE(AA111,"_",AB111)</f>
        <v>023_Servicio de Implementación Sistemas de Gestión</v>
      </c>
      <c r="AD111" s="168" t="str">
        <f>CONCATENATE(Z111," ",AC111)</f>
        <v>13-Servicios para la planeación y sistemas de gestión y comunicación estratégica 023_Servicio de Implementación Sistemas de Gestión</v>
      </c>
      <c r="AE111" s="167" t="str">
        <f>CONCATENATE(U111,V111,W111,X111,AA111)</f>
        <v>O23011745992024020713023</v>
      </c>
      <c r="AF111" s="167" t="str">
        <f>IFERROR(VLOOKUP(AD111,TD!$J$70:$K$93,2,0)," ")</f>
        <v>PM/0131/0113/45990230207</v>
      </c>
      <c r="AG111" s="114" t="s">
        <v>385</v>
      </c>
      <c r="AH111" s="166" t="s">
        <v>193</v>
      </c>
      <c r="AI111" s="169" t="str">
        <f>CONCATENATE(PAA[[#This Row],[Id Interno]],"-",PAA[[#This Row],[tipo de Contrato (TH talento humano - B/S bienes y/o servicios)]],"-",S111,"-",T111,"-",PAA[[#This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112" spans="2:35" ht="70" x14ac:dyDescent="0.35">
      <c r="B112" s="23">
        <v>20260065</v>
      </c>
      <c r="C112" s="97" t="s">
        <v>800</v>
      </c>
      <c r="D112" s="23" t="s">
        <v>105</v>
      </c>
      <c r="E112" s="23" t="s">
        <v>363</v>
      </c>
      <c r="F112" s="163" t="s">
        <v>144</v>
      </c>
      <c r="G112" s="164" t="s">
        <v>373</v>
      </c>
      <c r="H112" s="165">
        <v>8</v>
      </c>
      <c r="I112" s="165">
        <v>0</v>
      </c>
      <c r="J112" s="122">
        <v>33600000</v>
      </c>
      <c r="K112" s="88" t="s">
        <v>398</v>
      </c>
      <c r="L112" s="163" t="s">
        <v>36</v>
      </c>
      <c r="M112" s="166" t="s">
        <v>468</v>
      </c>
      <c r="N112" s="23" t="s">
        <v>197</v>
      </c>
      <c r="O112" s="144" t="s">
        <v>886</v>
      </c>
      <c r="P112" s="163" t="s">
        <v>348</v>
      </c>
      <c r="Q112" s="53">
        <v>80111600</v>
      </c>
      <c r="R112" s="166" t="s">
        <v>200</v>
      </c>
      <c r="S112" s="166" t="str">
        <f>MID(PAA[[#This Row],[Meta Proyecto de Inversión]],1,4)</f>
        <v>8126</v>
      </c>
      <c r="T112" s="166" t="str">
        <f>MID(PAA[[#This Row],[Meta Proyecto de Inversión]],6,2)</f>
        <v>1-</v>
      </c>
      <c r="U112" s="167" t="str">
        <f>IFERROR(VLOOKUP(N112,TD!$B$54:$F$58,2,0)," ")</f>
        <v>O230117</v>
      </c>
      <c r="V112" s="167" t="str">
        <f>IFERROR(VLOOKUP(N112,TD!$B$54:$F$58,3,0)," ")</f>
        <v>4599</v>
      </c>
      <c r="W112" s="167">
        <f>IFERROR(VLOOKUP(N112,TD!$B$54:$F$58,4,0)," ")</f>
        <v>20240207</v>
      </c>
      <c r="X112" s="166" t="s">
        <v>182</v>
      </c>
      <c r="Y112" s="167" t="str">
        <f>IFERROR(VLOOKUP(X112,TD!$J$55:$K$68,2,0)," ")</f>
        <v>Servicios para la planeación y sistemas de gestión y comunicación estratégica</v>
      </c>
      <c r="Z112" s="168" t="str">
        <f>CONCATENATE(X112,"-",Y112)</f>
        <v>13-Servicios para la planeación y sistemas de gestión y comunicación estratégica</v>
      </c>
      <c r="AA112" s="166" t="s">
        <v>229</v>
      </c>
      <c r="AB112" s="167" t="str">
        <f>IFERROR(VLOOKUP(AA112,TD!$N$55:$O$70,2,0)," ")</f>
        <v>Servicio de asistencia técnica</v>
      </c>
      <c r="AC112" s="168" t="str">
        <f>CONCATENATE(AA112,"_",AB112)</f>
        <v>031_Servicio de asistencia técnica</v>
      </c>
      <c r="AD112" s="168" t="str">
        <f>CONCATENATE(Z112," ",AC112)</f>
        <v>13-Servicios para la planeación y sistemas de gestión y comunicación estratégica 031_Servicio de asistencia técnica</v>
      </c>
      <c r="AE112" s="167" t="str">
        <f>CONCATENATE(U112,V112,W112,X112,AA112)</f>
        <v>O23011745992024020713031</v>
      </c>
      <c r="AF112" s="167" t="str">
        <f>IFERROR(VLOOKUP(AD112,TD!$J$70:$K$93,2,0)," ")</f>
        <v>PM/0131/0113/45990310207</v>
      </c>
      <c r="AG112" s="114" t="s">
        <v>385</v>
      </c>
      <c r="AH112" s="166" t="s">
        <v>193</v>
      </c>
      <c r="AI112" s="169" t="str">
        <f>CONCATENATE(PAA[[#This Row],[Id Interno]],"-",PAA[[#This Row],[tipo de Contrato (TH talento humano - B/S bienes y/o servicios)]],"-",S112,"-",T112,"-",PAA[[#This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113" spans="2:35" ht="126" x14ac:dyDescent="0.35">
      <c r="B113" s="23">
        <v>20260066</v>
      </c>
      <c r="C113" s="97" t="s">
        <v>801</v>
      </c>
      <c r="D113" s="23" t="s">
        <v>105</v>
      </c>
      <c r="E113" s="23" t="s">
        <v>363</v>
      </c>
      <c r="F113" s="163" t="s">
        <v>144</v>
      </c>
      <c r="G113" s="164" t="s">
        <v>373</v>
      </c>
      <c r="H113" s="165">
        <v>11</v>
      </c>
      <c r="I113" s="165">
        <v>0</v>
      </c>
      <c r="J113" s="122">
        <v>99000000</v>
      </c>
      <c r="K113" s="88" t="s">
        <v>398</v>
      </c>
      <c r="L113" s="163" t="s">
        <v>36</v>
      </c>
      <c r="M113" s="166" t="s">
        <v>468</v>
      </c>
      <c r="N113" s="23" t="s">
        <v>197</v>
      </c>
      <c r="O113" s="144" t="s">
        <v>886</v>
      </c>
      <c r="P113" s="163" t="s">
        <v>348</v>
      </c>
      <c r="Q113" s="53">
        <v>80111600</v>
      </c>
      <c r="R113" s="166" t="s">
        <v>200</v>
      </c>
      <c r="S113" s="166" t="str">
        <f>MID(PAA[[#This Row],[Meta Proyecto de Inversión]],1,4)</f>
        <v>8126</v>
      </c>
      <c r="T113" s="166" t="str">
        <f>MID(PAA[[#This Row],[Meta Proyecto de Inversión]],6,2)</f>
        <v>1-</v>
      </c>
      <c r="U113" s="167" t="str">
        <f>IFERROR(VLOOKUP(N113,TD!$B$54:$F$58,2,0)," ")</f>
        <v>O230117</v>
      </c>
      <c r="V113" s="167" t="str">
        <f>IFERROR(VLOOKUP(N113,TD!$B$54:$F$58,3,0)," ")</f>
        <v>4599</v>
      </c>
      <c r="W113" s="167">
        <f>IFERROR(VLOOKUP(N113,TD!$B$54:$F$58,4,0)," ")</f>
        <v>20240207</v>
      </c>
      <c r="X113" s="166" t="s">
        <v>182</v>
      </c>
      <c r="Y113" s="167" t="str">
        <f>IFERROR(VLOOKUP(X113,TD!$J$55:$K$68,2,0)," ")</f>
        <v>Servicios para la planeación y sistemas de gestión y comunicación estratégica</v>
      </c>
      <c r="Z113" s="168" t="str">
        <f>CONCATENATE(X113,"-",Y113)</f>
        <v>13-Servicios para la planeación y sistemas de gestión y comunicación estratégica</v>
      </c>
      <c r="AA113" s="166" t="s">
        <v>229</v>
      </c>
      <c r="AB113" s="167" t="str">
        <f>IFERROR(VLOOKUP(AA113,TD!$N$55:$O$70,2,0)," ")</f>
        <v>Servicio de asistencia técnica</v>
      </c>
      <c r="AC113" s="168" t="str">
        <f>CONCATENATE(AA113,"_",AB113)</f>
        <v>031_Servicio de asistencia técnica</v>
      </c>
      <c r="AD113" s="168" t="str">
        <f>CONCATENATE(Z113," ",AC113)</f>
        <v>13-Servicios para la planeación y sistemas de gestión y comunicación estratégica 031_Servicio de asistencia técnica</v>
      </c>
      <c r="AE113" s="167" t="str">
        <f>CONCATENATE(U113,V113,W113,X113,AA113)</f>
        <v>O23011745992024020713031</v>
      </c>
      <c r="AF113" s="167" t="str">
        <f>IFERROR(VLOOKUP(AD113,TD!$J$70:$K$93,2,0)," ")</f>
        <v>PM/0131/0113/45990310207</v>
      </c>
      <c r="AG113" s="114" t="s">
        <v>385</v>
      </c>
      <c r="AH113" s="166" t="s">
        <v>193</v>
      </c>
      <c r="AI113" s="169" t="str">
        <f>CONCATENATE(PAA[[#This Row],[Id Interno]],"-",PAA[[#This Row],[tipo de Contrato (TH talento humano - B/S bienes y/o servicios)]],"-",S113,"-",T113,"-",PAA[[#This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114" spans="2:35" ht="70" x14ac:dyDescent="0.35">
      <c r="B114" s="23">
        <v>20260067</v>
      </c>
      <c r="C114" s="97" t="s">
        <v>802</v>
      </c>
      <c r="D114" s="23" t="s">
        <v>105</v>
      </c>
      <c r="E114" s="23" t="s">
        <v>363</v>
      </c>
      <c r="F114" s="163" t="s">
        <v>144</v>
      </c>
      <c r="G114" s="164" t="s">
        <v>373</v>
      </c>
      <c r="H114" s="165">
        <v>11</v>
      </c>
      <c r="I114" s="165">
        <v>0</v>
      </c>
      <c r="J114" s="122">
        <v>88000000</v>
      </c>
      <c r="K114" s="88" t="s">
        <v>398</v>
      </c>
      <c r="L114" s="163" t="s">
        <v>36</v>
      </c>
      <c r="M114" s="166" t="s">
        <v>468</v>
      </c>
      <c r="N114" s="23" t="s">
        <v>197</v>
      </c>
      <c r="O114" s="144" t="s">
        <v>886</v>
      </c>
      <c r="P114" s="163" t="s">
        <v>348</v>
      </c>
      <c r="Q114" s="53">
        <v>80111600</v>
      </c>
      <c r="R114" s="166" t="s">
        <v>200</v>
      </c>
      <c r="S114" s="166" t="str">
        <f>MID(PAA[[#This Row],[Meta Proyecto de Inversión]],1,4)</f>
        <v>8126</v>
      </c>
      <c r="T114" s="166" t="str">
        <f>MID(PAA[[#This Row],[Meta Proyecto de Inversión]],6,2)</f>
        <v>1-</v>
      </c>
      <c r="U114" s="167" t="str">
        <f>IFERROR(VLOOKUP(N114,TD!$B$54:$F$58,2,0)," ")</f>
        <v>O230117</v>
      </c>
      <c r="V114" s="167" t="str">
        <f>IFERROR(VLOOKUP(N114,TD!$B$54:$F$58,3,0)," ")</f>
        <v>4599</v>
      </c>
      <c r="W114" s="167">
        <f>IFERROR(VLOOKUP(N114,TD!$B$54:$F$58,4,0)," ")</f>
        <v>20240207</v>
      </c>
      <c r="X114" s="166" t="s">
        <v>182</v>
      </c>
      <c r="Y114" s="167" t="str">
        <f>IFERROR(VLOOKUP(X114,TD!$J$55:$K$68,2,0)," ")</f>
        <v>Servicios para la planeación y sistemas de gestión y comunicación estratégica</v>
      </c>
      <c r="Z114" s="168" t="str">
        <f>CONCATENATE(X114,"-",Y114)</f>
        <v>13-Servicios para la planeación y sistemas de gestión y comunicación estratégica</v>
      </c>
      <c r="AA114" s="166" t="s">
        <v>229</v>
      </c>
      <c r="AB114" s="167" t="str">
        <f>IFERROR(VLOOKUP(AA114,TD!$N$55:$O$70,2,0)," ")</f>
        <v>Servicio de asistencia técnica</v>
      </c>
      <c r="AC114" s="168" t="str">
        <f>CONCATENATE(AA114,"_",AB114)</f>
        <v>031_Servicio de asistencia técnica</v>
      </c>
      <c r="AD114" s="168" t="str">
        <f>CONCATENATE(Z114," ",AC114)</f>
        <v>13-Servicios para la planeación y sistemas de gestión y comunicación estratégica 031_Servicio de asistencia técnica</v>
      </c>
      <c r="AE114" s="167" t="str">
        <f>CONCATENATE(U114,V114,W114,X114,AA114)</f>
        <v>O23011745992024020713031</v>
      </c>
      <c r="AF114" s="167" t="str">
        <f>IFERROR(VLOOKUP(AD114,TD!$J$70:$K$93,2,0)," ")</f>
        <v>PM/0131/0113/45990310207</v>
      </c>
      <c r="AG114" s="114" t="s">
        <v>385</v>
      </c>
      <c r="AH114" s="166" t="s">
        <v>193</v>
      </c>
      <c r="AI114" s="169" t="str">
        <f>CONCATENATE(PAA[[#This Row],[Id Interno]],"-",PAA[[#This Row],[tipo de Contrato (TH talento humano - B/S bienes y/o servicios)]],"-",S114,"-",T114,"-",PAA[[#This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115" spans="2:35" ht="84" x14ac:dyDescent="0.35">
      <c r="B115" s="23">
        <v>20260068</v>
      </c>
      <c r="C115" s="97" t="s">
        <v>803</v>
      </c>
      <c r="D115" s="23" t="s">
        <v>105</v>
      </c>
      <c r="E115" s="23" t="s">
        <v>363</v>
      </c>
      <c r="F115" s="163" t="s">
        <v>144</v>
      </c>
      <c r="G115" s="164" t="s">
        <v>373</v>
      </c>
      <c r="H115" s="165">
        <v>6</v>
      </c>
      <c r="I115" s="165">
        <v>0</v>
      </c>
      <c r="J115" s="122">
        <v>42000000</v>
      </c>
      <c r="K115" s="88" t="s">
        <v>398</v>
      </c>
      <c r="L115" s="163" t="s">
        <v>36</v>
      </c>
      <c r="M115" s="166" t="s">
        <v>468</v>
      </c>
      <c r="N115" s="23" t="s">
        <v>197</v>
      </c>
      <c r="O115" s="144" t="s">
        <v>886</v>
      </c>
      <c r="P115" s="163" t="s">
        <v>348</v>
      </c>
      <c r="Q115" s="53">
        <v>80111600</v>
      </c>
      <c r="R115" s="166" t="s">
        <v>200</v>
      </c>
      <c r="S115" s="166" t="str">
        <f>MID(PAA[[#This Row],[Meta Proyecto de Inversión]],1,4)</f>
        <v>8126</v>
      </c>
      <c r="T115" s="166" t="str">
        <f>MID(PAA[[#This Row],[Meta Proyecto de Inversión]],6,2)</f>
        <v>1-</v>
      </c>
      <c r="U115" s="167" t="str">
        <f>IFERROR(VLOOKUP(N115,TD!$B$54:$F$58,2,0)," ")</f>
        <v>O230117</v>
      </c>
      <c r="V115" s="167" t="str">
        <f>IFERROR(VLOOKUP(N115,TD!$B$54:$F$58,3,0)," ")</f>
        <v>4599</v>
      </c>
      <c r="W115" s="167">
        <f>IFERROR(VLOOKUP(N115,TD!$B$54:$F$58,4,0)," ")</f>
        <v>20240207</v>
      </c>
      <c r="X115" s="166" t="s">
        <v>182</v>
      </c>
      <c r="Y115" s="167" t="str">
        <f>IFERROR(VLOOKUP(X115,TD!$J$55:$K$68,2,0)," ")</f>
        <v>Servicios para la planeación y sistemas de gestión y comunicación estratégica</v>
      </c>
      <c r="Z115" s="168" t="str">
        <f>CONCATENATE(X115,"-",Y115)</f>
        <v>13-Servicios para la planeación y sistemas de gestión y comunicación estratégica</v>
      </c>
      <c r="AA115" s="166" t="s">
        <v>229</v>
      </c>
      <c r="AB115" s="167" t="str">
        <f>IFERROR(VLOOKUP(AA115,TD!$N$55:$O$70,2,0)," ")</f>
        <v>Servicio de asistencia técnica</v>
      </c>
      <c r="AC115" s="168" t="str">
        <f>CONCATENATE(AA115,"_",AB115)</f>
        <v>031_Servicio de asistencia técnica</v>
      </c>
      <c r="AD115" s="168" t="str">
        <f>CONCATENATE(Z115," ",AC115)</f>
        <v>13-Servicios para la planeación y sistemas de gestión y comunicación estratégica 031_Servicio de asistencia técnica</v>
      </c>
      <c r="AE115" s="167" t="str">
        <f>CONCATENATE(U115,V115,W115,X115,AA115)</f>
        <v>O23011745992024020713031</v>
      </c>
      <c r="AF115" s="167" t="str">
        <f>IFERROR(VLOOKUP(AD115,TD!$J$70:$K$93,2,0)," ")</f>
        <v>PM/0131/0113/45990310207</v>
      </c>
      <c r="AG115" s="114" t="s">
        <v>385</v>
      </c>
      <c r="AH115" s="166" t="s">
        <v>193</v>
      </c>
      <c r="AI115" s="169" t="str">
        <f>CONCATENATE(PAA[[#This Row],[Id Interno]],"-",PAA[[#This Row],[tipo de Contrato (TH talento humano - B/S bienes y/o servicios)]],"-",S115,"-",T115,"-",PAA[[#This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116" spans="2:35" ht="70" x14ac:dyDescent="0.35">
      <c r="B116" s="23">
        <v>20260069</v>
      </c>
      <c r="C116" s="97" t="s">
        <v>804</v>
      </c>
      <c r="D116" s="23" t="s">
        <v>105</v>
      </c>
      <c r="E116" s="23" t="s">
        <v>363</v>
      </c>
      <c r="F116" s="163" t="s">
        <v>144</v>
      </c>
      <c r="G116" s="164" t="s">
        <v>373</v>
      </c>
      <c r="H116" s="165">
        <v>12</v>
      </c>
      <c r="I116" s="165">
        <v>0</v>
      </c>
      <c r="J116" s="122">
        <v>126000000</v>
      </c>
      <c r="K116" s="88" t="s">
        <v>398</v>
      </c>
      <c r="L116" s="163" t="s">
        <v>36</v>
      </c>
      <c r="M116" s="166" t="s">
        <v>468</v>
      </c>
      <c r="N116" s="23" t="s">
        <v>197</v>
      </c>
      <c r="O116" s="144" t="s">
        <v>886</v>
      </c>
      <c r="P116" s="163" t="s">
        <v>348</v>
      </c>
      <c r="Q116" s="53">
        <v>80111600</v>
      </c>
      <c r="R116" s="166" t="s">
        <v>200</v>
      </c>
      <c r="S116" s="166" t="str">
        <f>MID(PAA[[#This Row],[Meta Proyecto de Inversión]],1,4)</f>
        <v>8126</v>
      </c>
      <c r="T116" s="166" t="str">
        <f>MID(PAA[[#This Row],[Meta Proyecto de Inversión]],6,2)</f>
        <v>1-</v>
      </c>
      <c r="U116" s="167" t="str">
        <f>IFERROR(VLOOKUP(N116,TD!$B$54:$F$58,2,0)," ")</f>
        <v>O230117</v>
      </c>
      <c r="V116" s="167" t="str">
        <f>IFERROR(VLOOKUP(N116,TD!$B$54:$F$58,3,0)," ")</f>
        <v>4599</v>
      </c>
      <c r="W116" s="167">
        <f>IFERROR(VLOOKUP(N116,TD!$B$54:$F$58,4,0)," ")</f>
        <v>20240207</v>
      </c>
      <c r="X116" s="166" t="s">
        <v>182</v>
      </c>
      <c r="Y116" s="167" t="str">
        <f>IFERROR(VLOOKUP(X116,TD!$J$55:$K$68,2,0)," ")</f>
        <v>Servicios para la planeación y sistemas de gestión y comunicación estratégica</v>
      </c>
      <c r="Z116" s="168" t="str">
        <f>CONCATENATE(X116,"-",Y116)</f>
        <v>13-Servicios para la planeación y sistemas de gestión y comunicación estratégica</v>
      </c>
      <c r="AA116" s="166" t="s">
        <v>229</v>
      </c>
      <c r="AB116" s="167" t="str">
        <f>IFERROR(VLOOKUP(AA116,TD!$N$55:$O$70,2,0)," ")</f>
        <v>Servicio de asistencia técnica</v>
      </c>
      <c r="AC116" s="168" t="str">
        <f>CONCATENATE(AA116,"_",AB116)</f>
        <v>031_Servicio de asistencia técnica</v>
      </c>
      <c r="AD116" s="168" t="str">
        <f>CONCATENATE(Z116," ",AC116)</f>
        <v>13-Servicios para la planeación y sistemas de gestión y comunicación estratégica 031_Servicio de asistencia técnica</v>
      </c>
      <c r="AE116" s="167" t="str">
        <f>CONCATENATE(U116,V116,W116,X116,AA116)</f>
        <v>O23011745992024020713031</v>
      </c>
      <c r="AF116" s="167" t="str">
        <f>IFERROR(VLOOKUP(AD116,TD!$J$70:$K$93,2,0)," ")</f>
        <v>PM/0131/0113/45990310207</v>
      </c>
      <c r="AG116" s="114" t="s">
        <v>385</v>
      </c>
      <c r="AH116" s="166" t="s">
        <v>193</v>
      </c>
      <c r="AI116" s="169" t="str">
        <f>CONCATENATE(PAA[[#This Row],[Id Interno]],"-",PAA[[#This Row],[tipo de Contrato (TH talento humano - B/S bienes y/o servicios)]],"-",S116,"-",T116,"-",PAA[[#This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117" spans="2:35" ht="70" x14ac:dyDescent="0.35">
      <c r="B117" s="23">
        <v>20260070</v>
      </c>
      <c r="C117" s="97" t="s">
        <v>805</v>
      </c>
      <c r="D117" s="23" t="s">
        <v>105</v>
      </c>
      <c r="E117" s="23" t="s">
        <v>363</v>
      </c>
      <c r="F117" s="163" t="s">
        <v>144</v>
      </c>
      <c r="G117" s="164" t="s">
        <v>373</v>
      </c>
      <c r="H117" s="165">
        <v>6</v>
      </c>
      <c r="I117" s="165">
        <v>0</v>
      </c>
      <c r="J117" s="122">
        <v>42000000</v>
      </c>
      <c r="K117" s="88" t="s">
        <v>398</v>
      </c>
      <c r="L117" s="163" t="s">
        <v>36</v>
      </c>
      <c r="M117" s="166" t="s">
        <v>468</v>
      </c>
      <c r="N117" s="23" t="s">
        <v>197</v>
      </c>
      <c r="O117" s="144" t="s">
        <v>886</v>
      </c>
      <c r="P117" s="163" t="s">
        <v>348</v>
      </c>
      <c r="Q117" s="53">
        <v>80111600</v>
      </c>
      <c r="R117" s="166" t="s">
        <v>200</v>
      </c>
      <c r="S117" s="166" t="str">
        <f>MID(PAA[[#This Row],[Meta Proyecto de Inversión]],1,4)</f>
        <v>8126</v>
      </c>
      <c r="T117" s="166" t="str">
        <f>MID(PAA[[#This Row],[Meta Proyecto de Inversión]],6,2)</f>
        <v>1-</v>
      </c>
      <c r="U117" s="167" t="str">
        <f>IFERROR(VLOOKUP(N117,TD!$B$54:$F$58,2,0)," ")</f>
        <v>O230117</v>
      </c>
      <c r="V117" s="167" t="str">
        <f>IFERROR(VLOOKUP(N117,TD!$B$54:$F$58,3,0)," ")</f>
        <v>4599</v>
      </c>
      <c r="W117" s="167">
        <f>IFERROR(VLOOKUP(N117,TD!$B$54:$F$58,4,0)," ")</f>
        <v>20240207</v>
      </c>
      <c r="X117" s="166" t="s">
        <v>182</v>
      </c>
      <c r="Y117" s="167" t="str">
        <f>IFERROR(VLOOKUP(X117,TD!$J$55:$K$68,2,0)," ")</f>
        <v>Servicios para la planeación y sistemas de gestión y comunicación estratégica</v>
      </c>
      <c r="Z117" s="168" t="str">
        <f>CONCATENATE(X117,"-",Y117)</f>
        <v>13-Servicios para la planeación y sistemas de gestión y comunicación estratégica</v>
      </c>
      <c r="AA117" s="166" t="s">
        <v>229</v>
      </c>
      <c r="AB117" s="167" t="str">
        <f>IFERROR(VLOOKUP(AA117,TD!$N$55:$O$70,2,0)," ")</f>
        <v>Servicio de asistencia técnica</v>
      </c>
      <c r="AC117" s="168" t="str">
        <f>CONCATENATE(AA117,"_",AB117)</f>
        <v>031_Servicio de asistencia técnica</v>
      </c>
      <c r="AD117" s="168" t="str">
        <f>CONCATENATE(Z117," ",AC117)</f>
        <v>13-Servicios para la planeación y sistemas de gestión y comunicación estratégica 031_Servicio de asistencia técnica</v>
      </c>
      <c r="AE117" s="167" t="str">
        <f>CONCATENATE(U117,V117,W117,X117,AA117)</f>
        <v>O23011745992024020713031</v>
      </c>
      <c r="AF117" s="167" t="str">
        <f>IFERROR(VLOOKUP(AD117,TD!$J$70:$K$93,2,0)," ")</f>
        <v>PM/0131/0113/45990310207</v>
      </c>
      <c r="AG117" s="114" t="s">
        <v>385</v>
      </c>
      <c r="AH117" s="166" t="s">
        <v>193</v>
      </c>
      <c r="AI117" s="169" t="str">
        <f>CONCATENATE(PAA[[#This Row],[Id Interno]],"-",PAA[[#This Row],[tipo de Contrato (TH talento humano - B/S bienes y/o servicios)]],"-",S117,"-",T117,"-",PAA[[#This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118" spans="2:35" ht="56" x14ac:dyDescent="0.35">
      <c r="B118" s="23">
        <v>20260071</v>
      </c>
      <c r="C118" s="97" t="s">
        <v>806</v>
      </c>
      <c r="D118" s="23" t="s">
        <v>105</v>
      </c>
      <c r="E118" s="23" t="s">
        <v>363</v>
      </c>
      <c r="F118" s="163" t="s">
        <v>144</v>
      </c>
      <c r="G118" s="164" t="s">
        <v>373</v>
      </c>
      <c r="H118" s="165">
        <v>11</v>
      </c>
      <c r="I118" s="165">
        <v>0</v>
      </c>
      <c r="J118" s="122">
        <f>102000000-800000</f>
        <v>101200000</v>
      </c>
      <c r="K118" s="88" t="s">
        <v>398</v>
      </c>
      <c r="L118" s="163" t="s">
        <v>36</v>
      </c>
      <c r="M118" s="166" t="s">
        <v>468</v>
      </c>
      <c r="N118" s="23" t="s">
        <v>197</v>
      </c>
      <c r="O118" s="144" t="s">
        <v>886</v>
      </c>
      <c r="P118" s="163" t="s">
        <v>348</v>
      </c>
      <c r="Q118" s="53">
        <v>80111600</v>
      </c>
      <c r="R118" s="166" t="s">
        <v>202</v>
      </c>
      <c r="S118" s="166" t="str">
        <f>MID(PAA[[#This Row],[Meta Proyecto de Inversión]],1,4)</f>
        <v>8126</v>
      </c>
      <c r="T118" s="166" t="str">
        <f>MID(PAA[[#This Row],[Meta Proyecto de Inversión]],6,2)</f>
        <v>3-</v>
      </c>
      <c r="U118" s="167" t="str">
        <f>IFERROR(VLOOKUP(N118,TD!$B$54:$F$58,2,0)," ")</f>
        <v>O230117</v>
      </c>
      <c r="V118" s="167" t="str">
        <f>IFERROR(VLOOKUP(N118,TD!$B$54:$F$58,3,0)," ")</f>
        <v>4599</v>
      </c>
      <c r="W118" s="167">
        <f>IFERROR(VLOOKUP(N118,TD!$B$54:$F$58,4,0)," ")</f>
        <v>20240207</v>
      </c>
      <c r="X118" s="166" t="s">
        <v>182</v>
      </c>
      <c r="Y118" s="167" t="str">
        <f>IFERROR(VLOOKUP(X118,TD!$J$55:$K$68,2,0)," ")</f>
        <v>Servicios para la planeación y sistemas de gestión y comunicación estratégica</v>
      </c>
      <c r="Z118" s="168" t="str">
        <f>CONCATENATE(X118,"-",Y118)</f>
        <v>13-Servicios para la planeación y sistemas de gestión y comunicación estratégica</v>
      </c>
      <c r="AA118" s="166" t="s">
        <v>229</v>
      </c>
      <c r="AB118" s="167" t="str">
        <f>IFERROR(VLOOKUP(AA118,TD!$N$55:$O$70,2,0)," ")</f>
        <v>Servicio de asistencia técnica</v>
      </c>
      <c r="AC118" s="168" t="str">
        <f>CONCATENATE(AA118,"_",AB118)</f>
        <v>031_Servicio de asistencia técnica</v>
      </c>
      <c r="AD118" s="168" t="str">
        <f>CONCATENATE(Z118," ",AC118)</f>
        <v>13-Servicios para la planeación y sistemas de gestión y comunicación estratégica 031_Servicio de asistencia técnica</v>
      </c>
      <c r="AE118" s="167" t="str">
        <f>CONCATENATE(U118,V118,W118,X118,AA118)</f>
        <v>O23011745992024020713031</v>
      </c>
      <c r="AF118" s="167" t="str">
        <f>IFERROR(VLOOKUP(AD118,TD!$J$70:$K$93,2,0)," ")</f>
        <v>PM/0131/0113/45990310207</v>
      </c>
      <c r="AG118" s="114" t="s">
        <v>385</v>
      </c>
      <c r="AH118" s="166" t="s">
        <v>193</v>
      </c>
      <c r="AI118" s="169" t="str">
        <f>CONCATENATE(PAA[[#This Row],[Id Interno]],"-",PAA[[#This Row],[tipo de Contrato (TH talento humano - B/S bienes y/o servicios)]],"-",S118,"-",T118,"-",PAA[[#This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119" spans="2:35" ht="84" x14ac:dyDescent="0.35">
      <c r="B119" s="23">
        <v>20260072</v>
      </c>
      <c r="C119" s="97" t="s">
        <v>871</v>
      </c>
      <c r="D119" s="23" t="s">
        <v>105</v>
      </c>
      <c r="E119" s="23" t="s">
        <v>363</v>
      </c>
      <c r="F119" s="163" t="s">
        <v>144</v>
      </c>
      <c r="G119" s="164" t="s">
        <v>373</v>
      </c>
      <c r="H119" s="165">
        <v>8</v>
      </c>
      <c r="I119" s="165">
        <v>0</v>
      </c>
      <c r="J119" s="122">
        <f>53889792-1889792</f>
        <v>52000000</v>
      </c>
      <c r="K119" s="88" t="s">
        <v>398</v>
      </c>
      <c r="L119" s="163" t="s">
        <v>36</v>
      </c>
      <c r="M119" s="166" t="s">
        <v>468</v>
      </c>
      <c r="N119" s="23" t="s">
        <v>197</v>
      </c>
      <c r="O119" s="144" t="s">
        <v>886</v>
      </c>
      <c r="P119" s="163" t="s">
        <v>348</v>
      </c>
      <c r="Q119" s="53">
        <v>80111600</v>
      </c>
      <c r="R119" s="166" t="s">
        <v>200</v>
      </c>
      <c r="S119" s="166" t="str">
        <f>MID(PAA[[#This Row],[Meta Proyecto de Inversión]],1,4)</f>
        <v>8126</v>
      </c>
      <c r="T119" s="166" t="str">
        <f>MID(PAA[[#This Row],[Meta Proyecto de Inversión]],6,2)</f>
        <v>1-</v>
      </c>
      <c r="U119" s="167" t="str">
        <f>IFERROR(VLOOKUP(N119,TD!$B$54:$F$58,2,0)," ")</f>
        <v>O230117</v>
      </c>
      <c r="V119" s="167" t="str">
        <f>IFERROR(VLOOKUP(N119,TD!$B$54:$F$58,3,0)," ")</f>
        <v>4599</v>
      </c>
      <c r="W119" s="167">
        <f>IFERROR(VLOOKUP(N119,TD!$B$54:$F$58,4,0)," ")</f>
        <v>20240207</v>
      </c>
      <c r="X119" s="166" t="s">
        <v>182</v>
      </c>
      <c r="Y119" s="167" t="str">
        <f>IFERROR(VLOOKUP(X119,TD!$J$55:$K$68,2,0)," ")</f>
        <v>Servicios para la planeación y sistemas de gestión y comunicación estratégica</v>
      </c>
      <c r="Z119" s="168" t="str">
        <f>CONCATENATE(X119,"-",Y119)</f>
        <v>13-Servicios para la planeación y sistemas de gestión y comunicación estratégica</v>
      </c>
      <c r="AA119" s="166" t="s">
        <v>229</v>
      </c>
      <c r="AB119" s="167" t="str">
        <f>IFERROR(VLOOKUP(AA119,TD!$N$55:$O$70,2,0)," ")</f>
        <v>Servicio de asistencia técnica</v>
      </c>
      <c r="AC119" s="168" t="str">
        <f>CONCATENATE(AA119,"_",AB119)</f>
        <v>031_Servicio de asistencia técnica</v>
      </c>
      <c r="AD119" s="168" t="str">
        <f>CONCATENATE(Z119," ",AC119)</f>
        <v>13-Servicios para la planeación y sistemas de gestión y comunicación estratégica 031_Servicio de asistencia técnica</v>
      </c>
      <c r="AE119" s="167" t="str">
        <f>CONCATENATE(U119,V119,W119,X119,AA119)</f>
        <v>O23011745992024020713031</v>
      </c>
      <c r="AF119" s="167" t="str">
        <f>IFERROR(VLOOKUP(AD119,TD!$J$70:$K$93,2,0)," ")</f>
        <v>PM/0131/0113/45990310207</v>
      </c>
      <c r="AG119" s="114" t="s">
        <v>385</v>
      </c>
      <c r="AH119" s="166" t="s">
        <v>193</v>
      </c>
      <c r="AI119" s="169" t="str">
        <f>CONCATENATE(PAA[[#This Row],[Id Interno]],"-",PAA[[#This Row],[tipo de Contrato (TH talento humano - B/S bienes y/o servicios)]],"-",S119,"-",T119,"-",PAA[[#This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120" spans="2:35" ht="84" x14ac:dyDescent="0.35">
      <c r="B120" s="23">
        <v>20260073</v>
      </c>
      <c r="C120" s="97" t="s">
        <v>807</v>
      </c>
      <c r="D120" s="23" t="s">
        <v>105</v>
      </c>
      <c r="E120" s="23" t="s">
        <v>363</v>
      </c>
      <c r="F120" s="163" t="s">
        <v>144</v>
      </c>
      <c r="G120" s="164" t="s">
        <v>373</v>
      </c>
      <c r="H120" s="165">
        <v>6</v>
      </c>
      <c r="I120" s="165">
        <v>0</v>
      </c>
      <c r="J120" s="122">
        <v>39000000</v>
      </c>
      <c r="K120" s="88" t="s">
        <v>398</v>
      </c>
      <c r="L120" s="163" t="s">
        <v>36</v>
      </c>
      <c r="M120" s="166" t="s">
        <v>468</v>
      </c>
      <c r="N120" s="23" t="s">
        <v>197</v>
      </c>
      <c r="O120" s="144" t="s">
        <v>886</v>
      </c>
      <c r="P120" s="163" t="s">
        <v>348</v>
      </c>
      <c r="Q120" s="53">
        <v>80111600</v>
      </c>
      <c r="R120" s="166" t="s">
        <v>200</v>
      </c>
      <c r="S120" s="166" t="str">
        <f>MID(PAA[[#This Row],[Meta Proyecto de Inversión]],1,4)</f>
        <v>8126</v>
      </c>
      <c r="T120" s="166" t="str">
        <f>MID(PAA[[#This Row],[Meta Proyecto de Inversión]],6,2)</f>
        <v>1-</v>
      </c>
      <c r="U120" s="167" t="str">
        <f>IFERROR(VLOOKUP(N120,TD!$B$54:$F$58,2,0)," ")</f>
        <v>O230117</v>
      </c>
      <c r="V120" s="167" t="str">
        <f>IFERROR(VLOOKUP(N120,TD!$B$54:$F$58,3,0)," ")</f>
        <v>4599</v>
      </c>
      <c r="W120" s="167">
        <f>IFERROR(VLOOKUP(N120,TD!$B$54:$F$58,4,0)," ")</f>
        <v>20240207</v>
      </c>
      <c r="X120" s="166" t="s">
        <v>182</v>
      </c>
      <c r="Y120" s="167" t="str">
        <f>IFERROR(VLOOKUP(X120,TD!$J$55:$K$68,2,0)," ")</f>
        <v>Servicios para la planeación y sistemas de gestión y comunicación estratégica</v>
      </c>
      <c r="Z120" s="168" t="str">
        <f>CONCATENATE(X120,"-",Y120)</f>
        <v>13-Servicios para la planeación y sistemas de gestión y comunicación estratégica</v>
      </c>
      <c r="AA120" s="166" t="s">
        <v>229</v>
      </c>
      <c r="AB120" s="167" t="str">
        <f>IFERROR(VLOOKUP(AA120,TD!$N$55:$O$70,2,0)," ")</f>
        <v>Servicio de asistencia técnica</v>
      </c>
      <c r="AC120" s="168" t="str">
        <f>CONCATENATE(AA120,"_",AB120)</f>
        <v>031_Servicio de asistencia técnica</v>
      </c>
      <c r="AD120" s="168" t="str">
        <f>CONCATENATE(Z120," ",AC120)</f>
        <v>13-Servicios para la planeación y sistemas de gestión y comunicación estratégica 031_Servicio de asistencia técnica</v>
      </c>
      <c r="AE120" s="167" t="str">
        <f>CONCATENATE(U120,V120,W120,X120,AA120)</f>
        <v>O23011745992024020713031</v>
      </c>
      <c r="AF120" s="167" t="str">
        <f>IFERROR(VLOOKUP(AD120,TD!$J$70:$K$93,2,0)," ")</f>
        <v>PM/0131/0113/45990310207</v>
      </c>
      <c r="AG120" s="114" t="s">
        <v>385</v>
      </c>
      <c r="AH120" s="166" t="s">
        <v>193</v>
      </c>
      <c r="AI120" s="169" t="str">
        <f>CONCATENATE(PAA[[#This Row],[Id Interno]],"-",PAA[[#This Row],[tipo de Contrato (TH talento humano - B/S bienes y/o servicios)]],"-",S120,"-",T120,"-",PAA[[#This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121" spans="2:35" ht="70" x14ac:dyDescent="0.35">
      <c r="B121" s="23">
        <v>20260074</v>
      </c>
      <c r="C121" s="97" t="s">
        <v>808</v>
      </c>
      <c r="D121" s="23" t="s">
        <v>105</v>
      </c>
      <c r="E121" s="23" t="s">
        <v>363</v>
      </c>
      <c r="F121" s="163" t="s">
        <v>144</v>
      </c>
      <c r="G121" s="164" t="s">
        <v>373</v>
      </c>
      <c r="H121" s="165">
        <v>6</v>
      </c>
      <c r="I121" s="165">
        <v>0</v>
      </c>
      <c r="J121" s="122">
        <f>60000000</f>
        <v>60000000</v>
      </c>
      <c r="K121" s="88" t="s">
        <v>398</v>
      </c>
      <c r="L121" s="163" t="s">
        <v>36</v>
      </c>
      <c r="M121" s="166" t="s">
        <v>468</v>
      </c>
      <c r="N121" s="23" t="s">
        <v>197</v>
      </c>
      <c r="O121" s="144" t="s">
        <v>886</v>
      </c>
      <c r="P121" s="163" t="s">
        <v>348</v>
      </c>
      <c r="Q121" s="53">
        <v>80111600</v>
      </c>
      <c r="R121" s="166" t="s">
        <v>201</v>
      </c>
      <c r="S121" s="166" t="str">
        <f>MID(PAA[[#This Row],[Meta Proyecto de Inversión]],1,4)</f>
        <v>8126</v>
      </c>
      <c r="T121" s="166" t="str">
        <f>MID(PAA[[#This Row],[Meta Proyecto de Inversión]],6,2)</f>
        <v>2-</v>
      </c>
      <c r="U121" s="167" t="str">
        <f>IFERROR(VLOOKUP(N121,TD!$B$54:$F$58,2,0)," ")</f>
        <v>O230117</v>
      </c>
      <c r="V121" s="167" t="str">
        <f>IFERROR(VLOOKUP(N121,TD!$B$54:$F$58,3,0)," ")</f>
        <v>4599</v>
      </c>
      <c r="W121" s="167">
        <f>IFERROR(VLOOKUP(N121,TD!$B$54:$F$58,4,0)," ")</f>
        <v>20240207</v>
      </c>
      <c r="X121" s="166" t="s">
        <v>182</v>
      </c>
      <c r="Y121" s="167" t="str">
        <f>IFERROR(VLOOKUP(X121,TD!$J$55:$K$68,2,0)," ")</f>
        <v>Servicios para la planeación y sistemas de gestión y comunicación estratégica</v>
      </c>
      <c r="Z121" s="168" t="str">
        <f>CONCATENATE(X121,"-",Y121)</f>
        <v>13-Servicios para la planeación y sistemas de gestión y comunicación estratégica</v>
      </c>
      <c r="AA121" s="166" t="s">
        <v>230</v>
      </c>
      <c r="AB121" s="167" t="str">
        <f>IFERROR(VLOOKUP(AA121,TD!$N$55:$O$70,2,0)," ")</f>
        <v>Servicio de Implementación Sistemas de Gestión</v>
      </c>
      <c r="AC121" s="168" t="str">
        <f>CONCATENATE(AA121,"_",AB121)</f>
        <v>023_Servicio de Implementación Sistemas de Gestión</v>
      </c>
      <c r="AD121" s="168" t="str">
        <f>CONCATENATE(Z121," ",AC121)</f>
        <v>13-Servicios para la planeación y sistemas de gestión y comunicación estratégica 023_Servicio de Implementación Sistemas de Gestión</v>
      </c>
      <c r="AE121" s="167" t="str">
        <f>CONCATENATE(U121,V121,W121,X121,AA121)</f>
        <v>O23011745992024020713023</v>
      </c>
      <c r="AF121" s="167" t="str">
        <f>IFERROR(VLOOKUP(AD121,TD!$J$70:$K$93,2,0)," ")</f>
        <v>PM/0131/0113/45990230207</v>
      </c>
      <c r="AG121" s="114" t="s">
        <v>385</v>
      </c>
      <c r="AH121" s="166" t="s">
        <v>193</v>
      </c>
      <c r="AI121" s="169" t="str">
        <f>CONCATENATE(PAA[[#This Row],[Id Interno]],"-",PAA[[#This Row],[tipo de Contrato (TH talento humano - B/S bienes y/o servicios)]],"-",S121,"-",T121,"-",PAA[[#This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122" spans="2:35" ht="56" x14ac:dyDescent="0.35">
      <c r="B122" s="23">
        <v>20260075</v>
      </c>
      <c r="C122" s="97" t="s">
        <v>809</v>
      </c>
      <c r="D122" s="23" t="s">
        <v>105</v>
      </c>
      <c r="E122" s="23" t="s">
        <v>363</v>
      </c>
      <c r="F122" s="163" t="s">
        <v>144</v>
      </c>
      <c r="G122" s="164" t="s">
        <v>373</v>
      </c>
      <c r="H122" s="165">
        <v>6</v>
      </c>
      <c r="I122" s="165">
        <v>0</v>
      </c>
      <c r="J122" s="122">
        <v>40200000</v>
      </c>
      <c r="K122" s="88" t="s">
        <v>398</v>
      </c>
      <c r="L122" s="163" t="s">
        <v>36</v>
      </c>
      <c r="M122" s="166" t="s">
        <v>468</v>
      </c>
      <c r="N122" s="23" t="s">
        <v>197</v>
      </c>
      <c r="O122" s="144" t="s">
        <v>886</v>
      </c>
      <c r="P122" s="163" t="s">
        <v>348</v>
      </c>
      <c r="Q122" s="53">
        <v>80111600</v>
      </c>
      <c r="R122" s="166" t="s">
        <v>201</v>
      </c>
      <c r="S122" s="166" t="str">
        <f>MID(PAA[[#This Row],[Meta Proyecto de Inversión]],1,4)</f>
        <v>8126</v>
      </c>
      <c r="T122" s="166" t="str">
        <f>MID(PAA[[#This Row],[Meta Proyecto de Inversión]],6,2)</f>
        <v>2-</v>
      </c>
      <c r="U122" s="167" t="str">
        <f>IFERROR(VLOOKUP(N122,TD!$B$54:$F$58,2,0)," ")</f>
        <v>O230117</v>
      </c>
      <c r="V122" s="167" t="str">
        <f>IFERROR(VLOOKUP(N122,TD!$B$54:$F$58,3,0)," ")</f>
        <v>4599</v>
      </c>
      <c r="W122" s="167">
        <f>IFERROR(VLOOKUP(N122,TD!$B$54:$F$58,4,0)," ")</f>
        <v>20240207</v>
      </c>
      <c r="X122" s="166" t="s">
        <v>182</v>
      </c>
      <c r="Y122" s="167" t="str">
        <f>IFERROR(VLOOKUP(X122,TD!$J$55:$K$68,2,0)," ")</f>
        <v>Servicios para la planeación y sistemas de gestión y comunicación estratégica</v>
      </c>
      <c r="Z122" s="168" t="str">
        <f>CONCATENATE(X122,"-",Y122)</f>
        <v>13-Servicios para la planeación y sistemas de gestión y comunicación estratégica</v>
      </c>
      <c r="AA122" s="166" t="s">
        <v>230</v>
      </c>
      <c r="AB122" s="167" t="str">
        <f>IFERROR(VLOOKUP(AA122,TD!$N$55:$O$70,2,0)," ")</f>
        <v>Servicio de Implementación Sistemas de Gestión</v>
      </c>
      <c r="AC122" s="168" t="str">
        <f>CONCATENATE(AA122,"_",AB122)</f>
        <v>023_Servicio de Implementación Sistemas de Gestión</v>
      </c>
      <c r="AD122" s="168" t="str">
        <f>CONCATENATE(Z122," ",AC122)</f>
        <v>13-Servicios para la planeación y sistemas de gestión y comunicación estratégica 023_Servicio de Implementación Sistemas de Gestión</v>
      </c>
      <c r="AE122" s="167" t="str">
        <f>CONCATENATE(U122,V122,W122,X122,AA122)</f>
        <v>O23011745992024020713023</v>
      </c>
      <c r="AF122" s="167" t="str">
        <f>IFERROR(VLOOKUP(AD122,TD!$J$70:$K$93,2,0)," ")</f>
        <v>PM/0131/0113/45990230207</v>
      </c>
      <c r="AG122" s="114" t="s">
        <v>385</v>
      </c>
      <c r="AH122" s="166" t="s">
        <v>193</v>
      </c>
      <c r="AI122" s="169" t="str">
        <f>CONCATENATE(PAA[[#This Row],[Id Interno]],"-",PAA[[#This Row],[tipo de Contrato (TH talento humano - B/S bienes y/o servicios)]],"-",S122,"-",T122,"-",PAA[[#This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123" spans="2:35" ht="126" x14ac:dyDescent="0.35">
      <c r="B123" s="23">
        <v>20260076</v>
      </c>
      <c r="C123" s="97" t="s">
        <v>810</v>
      </c>
      <c r="D123" s="23" t="s">
        <v>105</v>
      </c>
      <c r="E123" s="23" t="s">
        <v>363</v>
      </c>
      <c r="F123" s="163" t="s">
        <v>144</v>
      </c>
      <c r="G123" s="164" t="s">
        <v>373</v>
      </c>
      <c r="H123" s="165">
        <v>6</v>
      </c>
      <c r="I123" s="165">
        <v>0</v>
      </c>
      <c r="J123" s="122">
        <v>39000000</v>
      </c>
      <c r="K123" s="88" t="s">
        <v>398</v>
      </c>
      <c r="L123" s="163" t="s">
        <v>36</v>
      </c>
      <c r="M123" s="166" t="s">
        <v>468</v>
      </c>
      <c r="N123" s="23" t="s">
        <v>197</v>
      </c>
      <c r="O123" s="144" t="s">
        <v>886</v>
      </c>
      <c r="P123" s="163" t="s">
        <v>348</v>
      </c>
      <c r="Q123" s="53">
        <v>80111600</v>
      </c>
      <c r="R123" s="166" t="s">
        <v>200</v>
      </c>
      <c r="S123" s="166" t="str">
        <f>MID(PAA[[#This Row],[Meta Proyecto de Inversión]],1,4)</f>
        <v>8126</v>
      </c>
      <c r="T123" s="166" t="str">
        <f>MID(PAA[[#This Row],[Meta Proyecto de Inversión]],6,2)</f>
        <v>1-</v>
      </c>
      <c r="U123" s="167" t="str">
        <f>IFERROR(VLOOKUP(N123,TD!$B$54:$F$58,2,0)," ")</f>
        <v>O230117</v>
      </c>
      <c r="V123" s="167" t="str">
        <f>IFERROR(VLOOKUP(N123,TD!$B$54:$F$58,3,0)," ")</f>
        <v>4599</v>
      </c>
      <c r="W123" s="167">
        <f>IFERROR(VLOOKUP(N123,TD!$B$54:$F$58,4,0)," ")</f>
        <v>20240207</v>
      </c>
      <c r="X123" s="166" t="s">
        <v>182</v>
      </c>
      <c r="Y123" s="167" t="str">
        <f>IFERROR(VLOOKUP(X123,TD!$J$55:$K$68,2,0)," ")</f>
        <v>Servicios para la planeación y sistemas de gestión y comunicación estratégica</v>
      </c>
      <c r="Z123" s="168" t="str">
        <f>CONCATENATE(X123,"-",Y123)</f>
        <v>13-Servicios para la planeación y sistemas de gestión y comunicación estratégica</v>
      </c>
      <c r="AA123" s="166" t="s">
        <v>229</v>
      </c>
      <c r="AB123" s="167" t="str">
        <f>IFERROR(VLOOKUP(AA123,TD!$N$55:$O$70,2,0)," ")</f>
        <v>Servicio de asistencia técnica</v>
      </c>
      <c r="AC123" s="168" t="str">
        <f>CONCATENATE(AA123,"_",AB123)</f>
        <v>031_Servicio de asistencia técnica</v>
      </c>
      <c r="AD123" s="168" t="str">
        <f>CONCATENATE(Z123," ",AC123)</f>
        <v>13-Servicios para la planeación y sistemas de gestión y comunicación estratégica 031_Servicio de asistencia técnica</v>
      </c>
      <c r="AE123" s="167" t="str">
        <f>CONCATENATE(U123,V123,W123,X123,AA123)</f>
        <v>O23011745992024020713031</v>
      </c>
      <c r="AF123" s="167" t="str">
        <f>IFERROR(VLOOKUP(AD123,TD!$J$70:$K$93,2,0)," ")</f>
        <v>PM/0131/0113/45990310207</v>
      </c>
      <c r="AG123" s="114" t="s">
        <v>385</v>
      </c>
      <c r="AH123" s="166" t="s">
        <v>193</v>
      </c>
      <c r="AI123" s="169" t="str">
        <f>CONCATENATE(PAA[[#This Row],[Id Interno]],"-",PAA[[#This Row],[tipo de Contrato (TH talento humano - B/S bienes y/o servicios)]],"-",S123,"-",T123,"-",PAA[[#This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124" spans="2:35" ht="126" x14ac:dyDescent="0.35">
      <c r="B124" s="23">
        <v>20260077</v>
      </c>
      <c r="C124" s="97" t="s">
        <v>811</v>
      </c>
      <c r="D124" s="23" t="s">
        <v>105</v>
      </c>
      <c r="E124" s="23" t="s">
        <v>363</v>
      </c>
      <c r="F124" s="163" t="s">
        <v>145</v>
      </c>
      <c r="G124" s="164" t="s">
        <v>373</v>
      </c>
      <c r="H124" s="165">
        <v>8</v>
      </c>
      <c r="I124" s="165">
        <v>0</v>
      </c>
      <c r="J124" s="122">
        <v>35926528</v>
      </c>
      <c r="K124" s="88" t="s">
        <v>398</v>
      </c>
      <c r="L124" s="163" t="s">
        <v>36</v>
      </c>
      <c r="M124" s="166" t="s">
        <v>468</v>
      </c>
      <c r="N124" s="23" t="s">
        <v>197</v>
      </c>
      <c r="O124" s="144" t="s">
        <v>886</v>
      </c>
      <c r="P124" s="163" t="s">
        <v>348</v>
      </c>
      <c r="Q124" s="53">
        <v>80111600</v>
      </c>
      <c r="R124" s="166" t="s">
        <v>200</v>
      </c>
      <c r="S124" s="166" t="str">
        <f>MID(PAA[[#This Row],[Meta Proyecto de Inversión]],1,4)</f>
        <v>8126</v>
      </c>
      <c r="T124" s="166" t="str">
        <f>MID(PAA[[#This Row],[Meta Proyecto de Inversión]],6,2)</f>
        <v>1-</v>
      </c>
      <c r="U124" s="167" t="str">
        <f>IFERROR(VLOOKUP(N124,TD!$B$54:$F$58,2,0)," ")</f>
        <v>O230117</v>
      </c>
      <c r="V124" s="167" t="str">
        <f>IFERROR(VLOOKUP(N124,TD!$B$54:$F$58,3,0)," ")</f>
        <v>4599</v>
      </c>
      <c r="W124" s="167">
        <f>IFERROR(VLOOKUP(N124,TD!$B$54:$F$58,4,0)," ")</f>
        <v>20240207</v>
      </c>
      <c r="X124" s="166" t="s">
        <v>182</v>
      </c>
      <c r="Y124" s="167" t="str">
        <f>IFERROR(VLOOKUP(X124,TD!$J$55:$K$68,2,0)," ")</f>
        <v>Servicios para la planeación y sistemas de gestión y comunicación estratégica</v>
      </c>
      <c r="Z124" s="168" t="str">
        <f>CONCATENATE(X124,"-",Y124)</f>
        <v>13-Servicios para la planeación y sistemas de gestión y comunicación estratégica</v>
      </c>
      <c r="AA124" s="166" t="s">
        <v>230</v>
      </c>
      <c r="AB124" s="167" t="str">
        <f>IFERROR(VLOOKUP(AA124,TD!$N$55:$O$70,2,0)," ")</f>
        <v>Servicio de Implementación Sistemas de Gestión</v>
      </c>
      <c r="AC124" s="168" t="str">
        <f>CONCATENATE(AA124,"_",AB124)</f>
        <v>023_Servicio de Implementación Sistemas de Gestión</v>
      </c>
      <c r="AD124" s="168" t="str">
        <f>CONCATENATE(Z124," ",AC124)</f>
        <v>13-Servicios para la planeación y sistemas de gestión y comunicación estratégica 023_Servicio de Implementación Sistemas de Gestión</v>
      </c>
      <c r="AE124" s="167" t="str">
        <f>CONCATENATE(U124,V124,W124,X124,AA124)</f>
        <v>O23011745992024020713023</v>
      </c>
      <c r="AF124" s="167" t="str">
        <f>IFERROR(VLOOKUP(AD124,TD!$J$70:$K$93,2,0)," ")</f>
        <v>PM/0131/0113/45990230207</v>
      </c>
      <c r="AG124" s="114" t="s">
        <v>385</v>
      </c>
      <c r="AH124" s="166" t="s">
        <v>193</v>
      </c>
      <c r="AI124" s="169" t="str">
        <f>CONCATENATE(PAA[[#This Row],[Id Interno]],"-",PAA[[#This Row],[tipo de Contrato (TH talento humano - B/S bienes y/o servicios)]],"-",S124,"-",T124,"-",PAA[[#This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125" spans="2:35" ht="56" x14ac:dyDescent="0.35">
      <c r="B125" s="23">
        <v>20260078</v>
      </c>
      <c r="C125" s="97" t="s">
        <v>841</v>
      </c>
      <c r="D125" s="23" t="s">
        <v>105</v>
      </c>
      <c r="E125" s="23" t="s">
        <v>363</v>
      </c>
      <c r="F125" s="163" t="s">
        <v>144</v>
      </c>
      <c r="G125" s="164" t="s">
        <v>373</v>
      </c>
      <c r="H125" s="165">
        <v>8</v>
      </c>
      <c r="I125" s="165">
        <v>0</v>
      </c>
      <c r="J125" s="122">
        <f>56000000</f>
        <v>56000000</v>
      </c>
      <c r="K125" s="88" t="s">
        <v>398</v>
      </c>
      <c r="L125" s="163" t="s">
        <v>36</v>
      </c>
      <c r="M125" s="166" t="s">
        <v>468</v>
      </c>
      <c r="N125" s="23" t="s">
        <v>197</v>
      </c>
      <c r="O125" s="144" t="s">
        <v>886</v>
      </c>
      <c r="P125" s="163" t="s">
        <v>348</v>
      </c>
      <c r="Q125" s="53">
        <v>80111600</v>
      </c>
      <c r="R125" s="166" t="s">
        <v>200</v>
      </c>
      <c r="S125" s="166" t="str">
        <f>MID(PAA[[#This Row],[Meta Proyecto de Inversión]],1,4)</f>
        <v>8126</v>
      </c>
      <c r="T125" s="166" t="str">
        <f>MID(PAA[[#This Row],[Meta Proyecto de Inversión]],6,2)</f>
        <v>1-</v>
      </c>
      <c r="U125" s="167" t="str">
        <f>IFERROR(VLOOKUP(N125,TD!$B$54:$F$58,2,0)," ")</f>
        <v>O230117</v>
      </c>
      <c r="V125" s="167" t="str">
        <f>IFERROR(VLOOKUP(N125,TD!$B$54:$F$58,3,0)," ")</f>
        <v>4599</v>
      </c>
      <c r="W125" s="167">
        <f>IFERROR(VLOOKUP(N125,TD!$B$54:$F$58,4,0)," ")</f>
        <v>20240207</v>
      </c>
      <c r="X125" s="166" t="s">
        <v>182</v>
      </c>
      <c r="Y125" s="167" t="str">
        <f>IFERROR(VLOOKUP(X125,TD!$J$55:$K$68,2,0)," ")</f>
        <v>Servicios para la planeación y sistemas de gestión y comunicación estratégica</v>
      </c>
      <c r="Z125" s="168" t="str">
        <f>CONCATENATE(X125,"-",Y125)</f>
        <v>13-Servicios para la planeación y sistemas de gestión y comunicación estratégica</v>
      </c>
      <c r="AA125" s="166" t="s">
        <v>229</v>
      </c>
      <c r="AB125" s="167" t="str">
        <f>IFERROR(VLOOKUP(AA125,TD!$N$55:$O$70,2,0)," ")</f>
        <v>Servicio de asistencia técnica</v>
      </c>
      <c r="AC125" s="168" t="str">
        <f>CONCATENATE(AA125,"_",AB125)</f>
        <v>031_Servicio de asistencia técnica</v>
      </c>
      <c r="AD125" s="168" t="str">
        <f>CONCATENATE(Z125," ",AC125)</f>
        <v>13-Servicios para la planeación y sistemas de gestión y comunicación estratégica 031_Servicio de asistencia técnica</v>
      </c>
      <c r="AE125" s="167" t="str">
        <f>CONCATENATE(U125,V125,W125,X125,AA125)</f>
        <v>O23011745992024020713031</v>
      </c>
      <c r="AF125" s="167" t="str">
        <f>IFERROR(VLOOKUP(AD125,TD!$J$70:$K$93,2,0)," ")</f>
        <v>PM/0131/0113/45990310207</v>
      </c>
      <c r="AG125" s="114" t="s">
        <v>385</v>
      </c>
      <c r="AH125" s="166" t="s">
        <v>193</v>
      </c>
      <c r="AI125" s="169" t="str">
        <f>CONCATENATE(PAA[[#This Row],[Id Interno]],"-",PAA[[#This Row],[tipo de Contrato (TH talento humano - B/S bienes y/o servicios)]],"-",S125,"-",T125,"-",PAA[[#This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126" spans="2:35" ht="84" x14ac:dyDescent="0.35">
      <c r="B126" s="23">
        <v>20260079</v>
      </c>
      <c r="C126" s="97" t="s">
        <v>849</v>
      </c>
      <c r="D126" s="23" t="s">
        <v>105</v>
      </c>
      <c r="E126" s="23" t="s">
        <v>363</v>
      </c>
      <c r="F126" s="163" t="s">
        <v>145</v>
      </c>
      <c r="G126" s="164" t="s">
        <v>373</v>
      </c>
      <c r="H126" s="165">
        <v>7</v>
      </c>
      <c r="I126" s="165">
        <v>0</v>
      </c>
      <c r="J126" s="122">
        <v>49000000</v>
      </c>
      <c r="K126" s="88" t="s">
        <v>398</v>
      </c>
      <c r="L126" s="163" t="s">
        <v>36</v>
      </c>
      <c r="M126" s="166" t="s">
        <v>468</v>
      </c>
      <c r="N126" s="23" t="s">
        <v>197</v>
      </c>
      <c r="O126" s="144" t="s">
        <v>886</v>
      </c>
      <c r="P126" s="163" t="s">
        <v>348</v>
      </c>
      <c r="Q126" s="53">
        <v>80111600</v>
      </c>
      <c r="R126" s="166" t="s">
        <v>200</v>
      </c>
      <c r="S126" s="166" t="str">
        <f>MID(PAA[[#This Row],[Meta Proyecto de Inversión]],1,4)</f>
        <v>8126</v>
      </c>
      <c r="T126" s="166" t="str">
        <f>MID(PAA[[#This Row],[Meta Proyecto de Inversión]],6,2)</f>
        <v>1-</v>
      </c>
      <c r="U126" s="167" t="str">
        <f>IFERROR(VLOOKUP(N126,TD!$B$54:$F$58,2,0)," ")</f>
        <v>O230117</v>
      </c>
      <c r="V126" s="167" t="str">
        <f>IFERROR(VLOOKUP(N126,TD!$B$54:$F$58,3,0)," ")</f>
        <v>4599</v>
      </c>
      <c r="W126" s="167">
        <f>IFERROR(VLOOKUP(N126,TD!$B$54:$F$58,4,0)," ")</f>
        <v>20240207</v>
      </c>
      <c r="X126" s="166" t="s">
        <v>182</v>
      </c>
      <c r="Y126" s="167" t="str">
        <f>IFERROR(VLOOKUP(X126,TD!$J$55:$K$68,2,0)," ")</f>
        <v>Servicios para la planeación y sistemas de gestión y comunicación estratégica</v>
      </c>
      <c r="Z126" s="168" t="str">
        <f>CONCATENATE(X126,"-",Y126)</f>
        <v>13-Servicios para la planeación y sistemas de gestión y comunicación estratégica</v>
      </c>
      <c r="AA126" s="166" t="s">
        <v>229</v>
      </c>
      <c r="AB126" s="167" t="str">
        <f>IFERROR(VLOOKUP(AA126,TD!$N$55:$O$70,2,0)," ")</f>
        <v>Servicio de asistencia técnica</v>
      </c>
      <c r="AC126" s="168" t="str">
        <f>CONCATENATE(AA126,"_",AB126)</f>
        <v>031_Servicio de asistencia técnica</v>
      </c>
      <c r="AD126" s="168" t="str">
        <f>CONCATENATE(Z126," ",AC126)</f>
        <v>13-Servicios para la planeación y sistemas de gestión y comunicación estratégica 031_Servicio de asistencia técnica</v>
      </c>
      <c r="AE126" s="167" t="str">
        <f>CONCATENATE(U126,V126,W126,X126,AA126)</f>
        <v>O23011745992024020713031</v>
      </c>
      <c r="AF126" s="167" t="str">
        <f>IFERROR(VLOOKUP(AD126,TD!$J$70:$K$93,2,0)," ")</f>
        <v>PM/0131/0113/45990310207</v>
      </c>
      <c r="AG126" s="114" t="s">
        <v>385</v>
      </c>
      <c r="AH126" s="166" t="s">
        <v>193</v>
      </c>
      <c r="AI126" s="169" t="str">
        <f>CONCATENATE(PAA[[#This Row],[Id Interno]],"-",PAA[[#This Row],[tipo de Contrato (TH talento humano - B/S bienes y/o servicios)]],"-",S126,"-",T126,"-",PAA[[#This Row],[Objeto de la contratación]])</f>
        <v>20260079-TH-8126-1--Prestar servicios profesionales para apoyar al Jefe de la Oficina de Planeación en asuntos estratégicos de la gestión administrativa</v>
      </c>
    </row>
    <row r="127" spans="2:35" ht="70" x14ac:dyDescent="0.35">
      <c r="B127" s="23">
        <v>20260080</v>
      </c>
      <c r="C127" s="97" t="s">
        <v>847</v>
      </c>
      <c r="D127" s="23" t="s">
        <v>105</v>
      </c>
      <c r="E127" s="23" t="s">
        <v>363</v>
      </c>
      <c r="F127" s="163" t="s">
        <v>144</v>
      </c>
      <c r="G127" s="164" t="s">
        <v>373</v>
      </c>
      <c r="H127" s="165">
        <v>7</v>
      </c>
      <c r="I127" s="165">
        <v>0</v>
      </c>
      <c r="J127" s="122">
        <v>49000000</v>
      </c>
      <c r="K127" s="88" t="s">
        <v>398</v>
      </c>
      <c r="L127" s="163" t="s">
        <v>36</v>
      </c>
      <c r="M127" s="166" t="s">
        <v>468</v>
      </c>
      <c r="N127" s="23" t="s">
        <v>197</v>
      </c>
      <c r="O127" s="144" t="s">
        <v>886</v>
      </c>
      <c r="P127" s="163" t="s">
        <v>348</v>
      </c>
      <c r="Q127" s="53">
        <v>80111600</v>
      </c>
      <c r="R127" s="166" t="s">
        <v>200</v>
      </c>
      <c r="S127" s="166" t="str">
        <f>MID(PAA[[#This Row],[Meta Proyecto de Inversión]],1,4)</f>
        <v>8126</v>
      </c>
      <c r="T127" s="166" t="str">
        <f>MID(PAA[[#This Row],[Meta Proyecto de Inversión]],6,2)</f>
        <v>1-</v>
      </c>
      <c r="U127" s="167" t="str">
        <f>IFERROR(VLOOKUP(N127,TD!$B$54:$F$58,2,0)," ")</f>
        <v>O230117</v>
      </c>
      <c r="V127" s="167" t="str">
        <f>IFERROR(VLOOKUP(N127,TD!$B$54:$F$58,3,0)," ")</f>
        <v>4599</v>
      </c>
      <c r="W127" s="167">
        <f>IFERROR(VLOOKUP(N127,TD!$B$54:$F$58,4,0)," ")</f>
        <v>20240207</v>
      </c>
      <c r="X127" s="166" t="s">
        <v>182</v>
      </c>
      <c r="Y127" s="167" t="str">
        <f>IFERROR(VLOOKUP(X127,TD!$J$55:$K$68,2,0)," ")</f>
        <v>Servicios para la planeación y sistemas de gestión y comunicación estratégica</v>
      </c>
      <c r="Z127" s="168" t="str">
        <f>CONCATENATE(X127,"-",Y127)</f>
        <v>13-Servicios para la planeación y sistemas de gestión y comunicación estratégica</v>
      </c>
      <c r="AA127" s="166" t="s">
        <v>229</v>
      </c>
      <c r="AB127" s="167" t="str">
        <f>IFERROR(VLOOKUP(AA127,TD!$N$55:$O$70,2,0)," ")</f>
        <v>Servicio de asistencia técnica</v>
      </c>
      <c r="AC127" s="168" t="str">
        <f>CONCATENATE(AA127,"_",AB127)</f>
        <v>031_Servicio de asistencia técnica</v>
      </c>
      <c r="AD127" s="168" t="str">
        <f>CONCATENATE(Z127," ",AC127)</f>
        <v>13-Servicios para la planeación y sistemas de gestión y comunicación estratégica 031_Servicio de asistencia técnica</v>
      </c>
      <c r="AE127" s="167" t="str">
        <f>CONCATENATE(U127,V127,W127,X127,AA127)</f>
        <v>O23011745992024020713031</v>
      </c>
      <c r="AF127" s="167" t="str">
        <f>IFERROR(VLOOKUP(AD127,TD!$J$70:$K$93,2,0)," ")</f>
        <v>PM/0131/0113/45990310207</v>
      </c>
      <c r="AG127" s="114" t="s">
        <v>385</v>
      </c>
      <c r="AH127" s="166" t="s">
        <v>193</v>
      </c>
      <c r="AI127" s="169" t="str">
        <f>CONCATENATE(PAA[[#This Row],[Id Interno]],"-",PAA[[#This Row],[tipo de Contrato (TH talento humano - B/S bienes y/o servicios)]],"-",S127,"-",T127,"-",PAA[[#This Row],[Objeto de la contratación]])</f>
        <v>20260080-TH-8126-1--Prestar servicios profesionales a la Oficina Asesora de Planeación en los asuntos concernientes que se le asignen para la implementación del Modelo Integrado de Planeación y Gestión MIPG.</v>
      </c>
    </row>
    <row r="128" spans="2:35" ht="56" x14ac:dyDescent="0.35">
      <c r="B128" s="23">
        <v>20260081</v>
      </c>
      <c r="C128" s="97" t="s">
        <v>581</v>
      </c>
      <c r="D128" s="23" t="s">
        <v>105</v>
      </c>
      <c r="E128" s="23" t="s">
        <v>363</v>
      </c>
      <c r="F128" s="163" t="s">
        <v>144</v>
      </c>
      <c r="G128" s="164" t="s">
        <v>374</v>
      </c>
      <c r="H128" s="165">
        <v>10</v>
      </c>
      <c r="I128" s="165">
        <v>0</v>
      </c>
      <c r="J128" s="122">
        <v>78000000</v>
      </c>
      <c r="K128" s="88" t="s">
        <v>398</v>
      </c>
      <c r="L128" s="163" t="s">
        <v>46</v>
      </c>
      <c r="M128" s="166" t="s">
        <v>1228</v>
      </c>
      <c r="N128" s="23" t="s">
        <v>197</v>
      </c>
      <c r="O128" s="144" t="s">
        <v>886</v>
      </c>
      <c r="P128" s="163" t="s">
        <v>348</v>
      </c>
      <c r="Q128" s="53">
        <v>80111600</v>
      </c>
      <c r="R128" s="166" t="s">
        <v>208</v>
      </c>
      <c r="S128" s="166" t="str">
        <f>MID(PAA[[#This Row],[Meta Proyecto de Inversión]],1,4)</f>
        <v>8126</v>
      </c>
      <c r="T128" s="166" t="str">
        <f>MID(PAA[[#This Row],[Meta Proyecto de Inversión]],6,2)</f>
        <v>9-</v>
      </c>
      <c r="U128" s="167" t="str">
        <f>IFERROR(VLOOKUP(N128,TD!$B$54:$F$58,2,0)," ")</f>
        <v>O230117</v>
      </c>
      <c r="V128" s="167" t="str">
        <f>IFERROR(VLOOKUP(N128,TD!$B$54:$F$58,3,0)," ")</f>
        <v>4599</v>
      </c>
      <c r="W128" s="167">
        <f>IFERROR(VLOOKUP(N128,TD!$B$54:$F$58,4,0)," ")</f>
        <v>20240207</v>
      </c>
      <c r="X128" s="166" t="s">
        <v>174</v>
      </c>
      <c r="Y128" s="167" t="str">
        <f>IFERROR(VLOOKUP(X128,TD!$J$55:$K$68,2,0)," ")</f>
        <v>Infraestructura física, mantenimiento y dotación (Sedes construidas, mantenidas reforzadas)</v>
      </c>
      <c r="Z128" s="168" t="str">
        <f>CONCATENATE(X128,"-",Y128)</f>
        <v>08-Infraestructura física, mantenimiento y dotación (Sedes construidas, mantenidas reforzadas)</v>
      </c>
      <c r="AA128" s="166" t="s">
        <v>227</v>
      </c>
      <c r="AB128" s="167" t="str">
        <f>IFERROR(VLOOKUP(AA128,TD!$N$55:$O$70,2,0)," ")</f>
        <v>Sedes mantenidas</v>
      </c>
      <c r="AC128" s="168" t="str">
        <f>CONCATENATE(AA128,"_",AB128)</f>
        <v>016_Sedes mantenidas</v>
      </c>
      <c r="AD128" s="168" t="str">
        <f>CONCATENATE(Z128," ",AC128)</f>
        <v>08-Infraestructura física, mantenimiento y dotación (Sedes construidas, mantenidas reforzadas) 016_Sedes mantenidas</v>
      </c>
      <c r="AE128" s="167" t="str">
        <f>CONCATENATE(U128,V128,W128,X128,AA128)</f>
        <v>O23011745992024020708016</v>
      </c>
      <c r="AF128" s="167" t="str">
        <f>IFERROR(VLOOKUP(AD128,TD!$J$70:$K$93,2,0)," ")</f>
        <v>PM/0131/0108/45990160207</v>
      </c>
      <c r="AG128" s="114" t="s">
        <v>385</v>
      </c>
      <c r="AH128" s="166" t="s">
        <v>193</v>
      </c>
      <c r="AI128" s="169" t="str">
        <f>CONCATENATE(PAA[[#This Row],[Id Interno]],"-",PAA[[#This Row],[tipo de Contrato (TH talento humano - B/S bienes y/o servicios)]],"-",S128,"-",T128,"-",PAA[[#This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129" spans="2:35" ht="56" x14ac:dyDescent="0.35">
      <c r="B129" s="23">
        <v>20260082</v>
      </c>
      <c r="C129" s="97" t="s">
        <v>840</v>
      </c>
      <c r="D129" s="23" t="s">
        <v>105</v>
      </c>
      <c r="E129" s="23" t="s">
        <v>363</v>
      </c>
      <c r="F129" s="163" t="s">
        <v>144</v>
      </c>
      <c r="G129" s="164" t="s">
        <v>374</v>
      </c>
      <c r="H129" s="165">
        <v>10</v>
      </c>
      <c r="I129" s="165">
        <v>0</v>
      </c>
      <c r="J129" s="122">
        <v>85000000</v>
      </c>
      <c r="K129" s="88" t="s">
        <v>398</v>
      </c>
      <c r="L129" s="163" t="s">
        <v>46</v>
      </c>
      <c r="M129" s="166" t="s">
        <v>1228</v>
      </c>
      <c r="N129" s="23" t="s">
        <v>197</v>
      </c>
      <c r="O129" s="144" t="s">
        <v>886</v>
      </c>
      <c r="P129" s="163" t="s">
        <v>348</v>
      </c>
      <c r="Q129" s="53">
        <v>80111600</v>
      </c>
      <c r="R129" s="166" t="s">
        <v>208</v>
      </c>
      <c r="S129" s="166" t="str">
        <f>MID(PAA[[#This Row],[Meta Proyecto de Inversión]],1,4)</f>
        <v>8126</v>
      </c>
      <c r="T129" s="166" t="str">
        <f>MID(PAA[[#This Row],[Meta Proyecto de Inversión]],6,2)</f>
        <v>9-</v>
      </c>
      <c r="U129" s="167" t="str">
        <f>IFERROR(VLOOKUP(N129,TD!$B$54:$F$58,2,0)," ")</f>
        <v>O230117</v>
      </c>
      <c r="V129" s="167" t="str">
        <f>IFERROR(VLOOKUP(N129,TD!$B$54:$F$58,3,0)," ")</f>
        <v>4599</v>
      </c>
      <c r="W129" s="167">
        <f>IFERROR(VLOOKUP(N129,TD!$B$54:$F$58,4,0)," ")</f>
        <v>20240207</v>
      </c>
      <c r="X129" s="166" t="s">
        <v>174</v>
      </c>
      <c r="Y129" s="167" t="str">
        <f>IFERROR(VLOOKUP(X129,TD!$J$55:$K$68,2,0)," ")</f>
        <v>Infraestructura física, mantenimiento y dotación (Sedes construidas, mantenidas reforzadas)</v>
      </c>
      <c r="Z129" s="168" t="str">
        <f>CONCATENATE(X129,"-",Y129)</f>
        <v>08-Infraestructura física, mantenimiento y dotación (Sedes construidas, mantenidas reforzadas)</v>
      </c>
      <c r="AA129" s="166" t="s">
        <v>227</v>
      </c>
      <c r="AB129" s="167" t="str">
        <f>IFERROR(VLOOKUP(AA129,TD!$N$55:$O$70,2,0)," ")</f>
        <v>Sedes mantenidas</v>
      </c>
      <c r="AC129" s="168" t="str">
        <f>CONCATENATE(AA129,"_",AB129)</f>
        <v>016_Sedes mantenidas</v>
      </c>
      <c r="AD129" s="168" t="str">
        <f>CONCATENATE(Z129," ",AC129)</f>
        <v>08-Infraestructura física, mantenimiento y dotación (Sedes construidas, mantenidas reforzadas) 016_Sedes mantenidas</v>
      </c>
      <c r="AE129" s="167" t="str">
        <f>CONCATENATE(U129,V129,W129,X129,AA129)</f>
        <v>O23011745992024020708016</v>
      </c>
      <c r="AF129" s="167" t="str">
        <f>IFERROR(VLOOKUP(AD129,TD!$J$70:$K$93,2,0)," ")</f>
        <v>PM/0131/0108/45990160207</v>
      </c>
      <c r="AG129" s="114" t="s">
        <v>385</v>
      </c>
      <c r="AH129" s="166" t="s">
        <v>193</v>
      </c>
      <c r="AI129" s="169" t="str">
        <f>CONCATENATE(PAA[[#This Row],[Id Interno]],"-",PAA[[#This Row],[tipo de Contrato (TH talento humano - B/S bienes y/o servicios)]],"-",S129,"-",T129,"-",PAA[[#This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130" spans="2:35" ht="56" x14ac:dyDescent="0.35">
      <c r="B130" s="23">
        <v>20260083</v>
      </c>
      <c r="C130" s="97" t="s">
        <v>582</v>
      </c>
      <c r="D130" s="23" t="s">
        <v>105</v>
      </c>
      <c r="E130" s="23" t="s">
        <v>363</v>
      </c>
      <c r="F130" s="163" t="s">
        <v>144</v>
      </c>
      <c r="G130" s="164" t="s">
        <v>374</v>
      </c>
      <c r="H130" s="165">
        <v>10</v>
      </c>
      <c r="I130" s="165">
        <v>0</v>
      </c>
      <c r="J130" s="122">
        <v>80000000</v>
      </c>
      <c r="K130" s="88" t="s">
        <v>398</v>
      </c>
      <c r="L130" s="163" t="s">
        <v>46</v>
      </c>
      <c r="M130" s="166" t="s">
        <v>1228</v>
      </c>
      <c r="N130" s="23" t="s">
        <v>197</v>
      </c>
      <c r="O130" s="144" t="s">
        <v>886</v>
      </c>
      <c r="P130" s="163" t="s">
        <v>348</v>
      </c>
      <c r="Q130" s="53">
        <v>80111600</v>
      </c>
      <c r="R130" s="166" t="s">
        <v>208</v>
      </c>
      <c r="S130" s="166" t="str">
        <f>MID(PAA[[#This Row],[Meta Proyecto de Inversión]],1,4)</f>
        <v>8126</v>
      </c>
      <c r="T130" s="166" t="str">
        <f>MID(PAA[[#This Row],[Meta Proyecto de Inversión]],6,2)</f>
        <v>9-</v>
      </c>
      <c r="U130" s="167" t="str">
        <f>IFERROR(VLOOKUP(N130,TD!$B$54:$F$58,2,0)," ")</f>
        <v>O230117</v>
      </c>
      <c r="V130" s="167" t="str">
        <f>IFERROR(VLOOKUP(N130,TD!$B$54:$F$58,3,0)," ")</f>
        <v>4599</v>
      </c>
      <c r="W130" s="167">
        <f>IFERROR(VLOOKUP(N130,TD!$B$54:$F$58,4,0)," ")</f>
        <v>20240207</v>
      </c>
      <c r="X130" s="166" t="s">
        <v>174</v>
      </c>
      <c r="Y130" s="167" t="str">
        <f>IFERROR(VLOOKUP(X130,TD!$J$55:$K$68,2,0)," ")</f>
        <v>Infraestructura física, mantenimiento y dotación (Sedes construidas, mantenidas reforzadas)</v>
      </c>
      <c r="Z130" s="168" t="str">
        <f>CONCATENATE(X130,"-",Y130)</f>
        <v>08-Infraestructura física, mantenimiento y dotación (Sedes construidas, mantenidas reforzadas)</v>
      </c>
      <c r="AA130" s="166" t="s">
        <v>227</v>
      </c>
      <c r="AB130" s="167" t="str">
        <f>IFERROR(VLOOKUP(AA130,TD!$N$55:$O$70,2,0)," ")</f>
        <v>Sedes mantenidas</v>
      </c>
      <c r="AC130" s="168" t="str">
        <f>CONCATENATE(AA130,"_",AB130)</f>
        <v>016_Sedes mantenidas</v>
      </c>
      <c r="AD130" s="168" t="str">
        <f>CONCATENATE(Z130," ",AC130)</f>
        <v>08-Infraestructura física, mantenimiento y dotación (Sedes construidas, mantenidas reforzadas) 016_Sedes mantenidas</v>
      </c>
      <c r="AE130" s="167" t="str">
        <f>CONCATENATE(U130,V130,W130,X130,AA130)</f>
        <v>O23011745992024020708016</v>
      </c>
      <c r="AF130" s="167" t="str">
        <f>IFERROR(VLOOKUP(AD130,TD!$J$70:$K$93,2,0)," ")</f>
        <v>PM/0131/0108/45990160207</v>
      </c>
      <c r="AG130" s="114" t="s">
        <v>385</v>
      </c>
      <c r="AH130" s="166" t="s">
        <v>193</v>
      </c>
      <c r="AI130" s="169" t="str">
        <f>CONCATENATE(PAA[[#This Row],[Id Interno]],"-",PAA[[#This Row],[tipo de Contrato (TH talento humano - B/S bienes y/o servicios)]],"-",S130,"-",T130,"-",PAA[[#This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131" spans="2:35" ht="70" x14ac:dyDescent="0.35">
      <c r="B131" s="23">
        <v>20260084</v>
      </c>
      <c r="C131" s="97" t="s">
        <v>423</v>
      </c>
      <c r="D131" s="23" t="s">
        <v>105</v>
      </c>
      <c r="E131" s="23" t="s">
        <v>363</v>
      </c>
      <c r="F131" s="163" t="s">
        <v>144</v>
      </c>
      <c r="G131" s="164" t="s">
        <v>374</v>
      </c>
      <c r="H131" s="165">
        <v>10</v>
      </c>
      <c r="I131" s="165">
        <v>0</v>
      </c>
      <c r="J131" s="122">
        <v>70000000</v>
      </c>
      <c r="K131" s="88" t="s">
        <v>398</v>
      </c>
      <c r="L131" s="163" t="s">
        <v>46</v>
      </c>
      <c r="M131" s="166" t="s">
        <v>1228</v>
      </c>
      <c r="N131" s="23" t="s">
        <v>197</v>
      </c>
      <c r="O131" s="144" t="s">
        <v>886</v>
      </c>
      <c r="P131" s="163" t="s">
        <v>348</v>
      </c>
      <c r="Q131" s="53">
        <v>80111600</v>
      </c>
      <c r="R131" s="166" t="s">
        <v>208</v>
      </c>
      <c r="S131" s="166" t="str">
        <f>MID(PAA[[#This Row],[Meta Proyecto de Inversión]],1,4)</f>
        <v>8126</v>
      </c>
      <c r="T131" s="166" t="str">
        <f>MID(PAA[[#This Row],[Meta Proyecto de Inversión]],6,2)</f>
        <v>9-</v>
      </c>
      <c r="U131" s="167" t="str">
        <f>IFERROR(VLOOKUP(N131,TD!$B$54:$F$58,2,0)," ")</f>
        <v>O230117</v>
      </c>
      <c r="V131" s="167" t="str">
        <f>IFERROR(VLOOKUP(N131,TD!$B$54:$F$58,3,0)," ")</f>
        <v>4599</v>
      </c>
      <c r="W131" s="167">
        <f>IFERROR(VLOOKUP(N131,TD!$B$54:$F$58,4,0)," ")</f>
        <v>20240207</v>
      </c>
      <c r="X131" s="166" t="s">
        <v>174</v>
      </c>
      <c r="Y131" s="167" t="str">
        <f>IFERROR(VLOOKUP(X131,TD!$J$55:$K$68,2,0)," ")</f>
        <v>Infraestructura física, mantenimiento y dotación (Sedes construidas, mantenidas reforzadas)</v>
      </c>
      <c r="Z131" s="168" t="str">
        <f>CONCATENATE(X131,"-",Y131)</f>
        <v>08-Infraestructura física, mantenimiento y dotación (Sedes construidas, mantenidas reforzadas)</v>
      </c>
      <c r="AA131" s="166" t="s">
        <v>227</v>
      </c>
      <c r="AB131" s="167" t="str">
        <f>IFERROR(VLOOKUP(AA131,TD!$N$55:$O$70,2,0)," ")</f>
        <v>Sedes mantenidas</v>
      </c>
      <c r="AC131" s="168" t="str">
        <f>CONCATENATE(AA131,"_",AB131)</f>
        <v>016_Sedes mantenidas</v>
      </c>
      <c r="AD131" s="168" t="str">
        <f>CONCATENATE(Z131," ",AC131)</f>
        <v>08-Infraestructura física, mantenimiento y dotación (Sedes construidas, mantenidas reforzadas) 016_Sedes mantenidas</v>
      </c>
      <c r="AE131" s="167" t="str">
        <f>CONCATENATE(U131,V131,W131,X131,AA131)</f>
        <v>O23011745992024020708016</v>
      </c>
      <c r="AF131" s="167" t="str">
        <f>IFERROR(VLOOKUP(AD131,TD!$J$70:$K$93,2,0)," ")</f>
        <v>PM/0131/0108/45990160207</v>
      </c>
      <c r="AG131" s="114" t="s">
        <v>385</v>
      </c>
      <c r="AH131" s="166" t="s">
        <v>193</v>
      </c>
      <c r="AI131" s="169" t="str">
        <f>CONCATENATE(PAA[[#This Row],[Id Interno]],"-",PAA[[#This Row],[tipo de Contrato (TH talento humano - B/S bienes y/o servicios)]],"-",S131,"-",T131,"-",PAA[[#This Row],[Objeto de la contratación]])</f>
        <v>20260084-TH-8126-9--Prestar servicios profesionales jurídicos para apoyar la instrucción y demás actuaciones que deban surtirse en los procesos disciplinarios adelantados por la Oficina de Control Disciplinario Interno.</v>
      </c>
    </row>
    <row r="132" spans="2:35" ht="56" x14ac:dyDescent="0.35">
      <c r="B132" s="23">
        <v>20260085</v>
      </c>
      <c r="C132" s="97" t="s">
        <v>423</v>
      </c>
      <c r="D132" s="23" t="s">
        <v>105</v>
      </c>
      <c r="E132" s="23" t="s">
        <v>363</v>
      </c>
      <c r="F132" s="163" t="s">
        <v>144</v>
      </c>
      <c r="G132" s="164" t="s">
        <v>374</v>
      </c>
      <c r="H132" s="165">
        <v>10</v>
      </c>
      <c r="I132" s="165">
        <v>0</v>
      </c>
      <c r="J132" s="122">
        <v>70000000</v>
      </c>
      <c r="K132" s="88" t="s">
        <v>398</v>
      </c>
      <c r="L132" s="163" t="s">
        <v>46</v>
      </c>
      <c r="M132" s="166" t="s">
        <v>1228</v>
      </c>
      <c r="N132" s="23" t="s">
        <v>197</v>
      </c>
      <c r="O132" s="144" t="s">
        <v>886</v>
      </c>
      <c r="P132" s="163" t="s">
        <v>348</v>
      </c>
      <c r="Q132" s="53">
        <v>80111600</v>
      </c>
      <c r="R132" s="166" t="s">
        <v>208</v>
      </c>
      <c r="S132" s="166" t="str">
        <f>MID(PAA[[#This Row],[Meta Proyecto de Inversión]],1,4)</f>
        <v>8126</v>
      </c>
      <c r="T132" s="166" t="str">
        <f>MID(PAA[[#This Row],[Meta Proyecto de Inversión]],6,2)</f>
        <v>9-</v>
      </c>
      <c r="U132" s="167" t="str">
        <f>IFERROR(VLOOKUP(N132,TD!$B$54:$F$58,2,0)," ")</f>
        <v>O230117</v>
      </c>
      <c r="V132" s="167" t="str">
        <f>IFERROR(VLOOKUP(N132,TD!$B$54:$F$58,3,0)," ")</f>
        <v>4599</v>
      </c>
      <c r="W132" s="167">
        <f>IFERROR(VLOOKUP(N132,TD!$B$54:$F$58,4,0)," ")</f>
        <v>20240207</v>
      </c>
      <c r="X132" s="166" t="s">
        <v>174</v>
      </c>
      <c r="Y132" s="167" t="str">
        <f>IFERROR(VLOOKUP(X132,TD!$J$55:$K$68,2,0)," ")</f>
        <v>Infraestructura física, mantenimiento y dotación (Sedes construidas, mantenidas reforzadas)</v>
      </c>
      <c r="Z132" s="168" t="str">
        <f>CONCATENATE(X132,"-",Y132)</f>
        <v>08-Infraestructura física, mantenimiento y dotación (Sedes construidas, mantenidas reforzadas)</v>
      </c>
      <c r="AA132" s="166" t="s">
        <v>227</v>
      </c>
      <c r="AB132" s="167" t="str">
        <f>IFERROR(VLOOKUP(AA132,TD!$N$55:$O$70,2,0)," ")</f>
        <v>Sedes mantenidas</v>
      </c>
      <c r="AC132" s="168" t="str">
        <f>CONCATENATE(AA132,"_",AB132)</f>
        <v>016_Sedes mantenidas</v>
      </c>
      <c r="AD132" s="168" t="str">
        <f>CONCATENATE(Z132," ",AC132)</f>
        <v>08-Infraestructura física, mantenimiento y dotación (Sedes construidas, mantenidas reforzadas) 016_Sedes mantenidas</v>
      </c>
      <c r="AE132" s="167" t="str">
        <f>CONCATENATE(U132,V132,W132,X132,AA132)</f>
        <v>O23011745992024020708016</v>
      </c>
      <c r="AF132" s="167" t="str">
        <f>IFERROR(VLOOKUP(AD132,TD!$J$70:$K$93,2,0)," ")</f>
        <v>PM/0131/0108/45990160207</v>
      </c>
      <c r="AG132" s="114" t="s">
        <v>385</v>
      </c>
      <c r="AH132" s="166" t="s">
        <v>193</v>
      </c>
      <c r="AI132" s="169" t="str">
        <f>CONCATENATE(PAA[[#This Row],[Id Interno]],"-",PAA[[#This Row],[tipo de Contrato (TH talento humano - B/S bienes y/o servicios)]],"-",S132,"-",T132,"-",PAA[[#This Row],[Objeto de la contratación]])</f>
        <v>20260085-TH-8126-9--Prestar servicios profesionales jurídicos para apoyar la instrucción y demás actuaciones que deban surtirse en los procesos disciplinarios adelantados por la Oficina de Control Disciplinario Interno.</v>
      </c>
    </row>
    <row r="133" spans="2:35" ht="56" x14ac:dyDescent="0.35">
      <c r="B133" s="23">
        <v>20260086</v>
      </c>
      <c r="C133" s="97" t="s">
        <v>423</v>
      </c>
      <c r="D133" s="23" t="s">
        <v>105</v>
      </c>
      <c r="E133" s="23" t="s">
        <v>363</v>
      </c>
      <c r="F133" s="163" t="s">
        <v>144</v>
      </c>
      <c r="G133" s="164" t="s">
        <v>374</v>
      </c>
      <c r="H133" s="165">
        <v>10</v>
      </c>
      <c r="I133" s="165">
        <v>0</v>
      </c>
      <c r="J133" s="122">
        <v>70000000</v>
      </c>
      <c r="K133" s="88" t="s">
        <v>398</v>
      </c>
      <c r="L133" s="163" t="s">
        <v>46</v>
      </c>
      <c r="M133" s="166" t="s">
        <v>1228</v>
      </c>
      <c r="N133" s="23" t="s">
        <v>197</v>
      </c>
      <c r="O133" s="144" t="s">
        <v>886</v>
      </c>
      <c r="P133" s="163" t="s">
        <v>348</v>
      </c>
      <c r="Q133" s="53">
        <v>80111600</v>
      </c>
      <c r="R133" s="166" t="s">
        <v>208</v>
      </c>
      <c r="S133" s="166" t="str">
        <f>MID(PAA[[#This Row],[Meta Proyecto de Inversión]],1,4)</f>
        <v>8126</v>
      </c>
      <c r="T133" s="166" t="str">
        <f>MID(PAA[[#This Row],[Meta Proyecto de Inversión]],6,2)</f>
        <v>9-</v>
      </c>
      <c r="U133" s="167" t="str">
        <f>IFERROR(VLOOKUP(N133,TD!$B$54:$F$58,2,0)," ")</f>
        <v>O230117</v>
      </c>
      <c r="V133" s="167" t="str">
        <f>IFERROR(VLOOKUP(N133,TD!$B$54:$F$58,3,0)," ")</f>
        <v>4599</v>
      </c>
      <c r="W133" s="167">
        <f>IFERROR(VLOOKUP(N133,TD!$B$54:$F$58,4,0)," ")</f>
        <v>20240207</v>
      </c>
      <c r="X133" s="166" t="s">
        <v>174</v>
      </c>
      <c r="Y133" s="167" t="str">
        <f>IFERROR(VLOOKUP(X133,TD!$J$55:$K$68,2,0)," ")</f>
        <v>Infraestructura física, mantenimiento y dotación (Sedes construidas, mantenidas reforzadas)</v>
      </c>
      <c r="Z133" s="168" t="str">
        <f>CONCATENATE(X133,"-",Y133)</f>
        <v>08-Infraestructura física, mantenimiento y dotación (Sedes construidas, mantenidas reforzadas)</v>
      </c>
      <c r="AA133" s="166" t="s">
        <v>227</v>
      </c>
      <c r="AB133" s="167" t="str">
        <f>IFERROR(VLOOKUP(AA133,TD!$N$55:$O$70,2,0)," ")</f>
        <v>Sedes mantenidas</v>
      </c>
      <c r="AC133" s="168" t="str">
        <f>CONCATENATE(AA133,"_",AB133)</f>
        <v>016_Sedes mantenidas</v>
      </c>
      <c r="AD133" s="168" t="str">
        <f>CONCATENATE(Z133," ",AC133)</f>
        <v>08-Infraestructura física, mantenimiento y dotación (Sedes construidas, mantenidas reforzadas) 016_Sedes mantenidas</v>
      </c>
      <c r="AE133" s="167" t="str">
        <f>CONCATENATE(U133,V133,W133,X133,AA133)</f>
        <v>O23011745992024020708016</v>
      </c>
      <c r="AF133" s="167" t="str">
        <f>IFERROR(VLOOKUP(AD133,TD!$J$70:$K$93,2,0)," ")</f>
        <v>PM/0131/0108/45990160207</v>
      </c>
      <c r="AG133" s="114" t="s">
        <v>385</v>
      </c>
      <c r="AH133" s="166" t="s">
        <v>193</v>
      </c>
      <c r="AI133" s="169" t="str">
        <f>CONCATENATE(PAA[[#This Row],[Id Interno]],"-",PAA[[#This Row],[tipo de Contrato (TH talento humano - B/S bienes y/o servicios)]],"-",S133,"-",T133,"-",PAA[[#This Row],[Objeto de la contratación]])</f>
        <v>20260086-TH-8126-9--Prestar servicios profesionales jurídicos para apoyar la instrucción y demás actuaciones que deban surtirse en los procesos disciplinarios adelantados por la Oficina de Control Disciplinario Interno.</v>
      </c>
    </row>
    <row r="134" spans="2:35" ht="56" x14ac:dyDescent="0.35">
      <c r="B134" s="23">
        <v>20260087</v>
      </c>
      <c r="C134" s="97" t="s">
        <v>423</v>
      </c>
      <c r="D134" s="23" t="s">
        <v>105</v>
      </c>
      <c r="E134" s="23" t="s">
        <v>363</v>
      </c>
      <c r="F134" s="163" t="s">
        <v>144</v>
      </c>
      <c r="G134" s="164" t="s">
        <v>374</v>
      </c>
      <c r="H134" s="165">
        <v>10</v>
      </c>
      <c r="I134" s="165">
        <v>0</v>
      </c>
      <c r="J134" s="122">
        <v>70000000</v>
      </c>
      <c r="K134" s="88" t="s">
        <v>398</v>
      </c>
      <c r="L134" s="163" t="s">
        <v>46</v>
      </c>
      <c r="M134" s="166" t="s">
        <v>1228</v>
      </c>
      <c r="N134" s="23" t="s">
        <v>197</v>
      </c>
      <c r="O134" s="144" t="s">
        <v>886</v>
      </c>
      <c r="P134" s="163" t="s">
        <v>348</v>
      </c>
      <c r="Q134" s="53">
        <v>80111600</v>
      </c>
      <c r="R134" s="166" t="s">
        <v>208</v>
      </c>
      <c r="S134" s="166" t="str">
        <f>MID(PAA[[#This Row],[Meta Proyecto de Inversión]],1,4)</f>
        <v>8126</v>
      </c>
      <c r="T134" s="166" t="str">
        <f>MID(PAA[[#This Row],[Meta Proyecto de Inversión]],6,2)</f>
        <v>9-</v>
      </c>
      <c r="U134" s="167" t="str">
        <f>IFERROR(VLOOKUP(N134,TD!$B$54:$F$58,2,0)," ")</f>
        <v>O230117</v>
      </c>
      <c r="V134" s="167" t="str">
        <f>IFERROR(VLOOKUP(N134,TD!$B$54:$F$58,3,0)," ")</f>
        <v>4599</v>
      </c>
      <c r="W134" s="167">
        <f>IFERROR(VLOOKUP(N134,TD!$B$54:$F$58,4,0)," ")</f>
        <v>20240207</v>
      </c>
      <c r="X134" s="166" t="s">
        <v>174</v>
      </c>
      <c r="Y134" s="167" t="str">
        <f>IFERROR(VLOOKUP(X134,TD!$J$55:$K$68,2,0)," ")</f>
        <v>Infraestructura física, mantenimiento y dotación (Sedes construidas, mantenidas reforzadas)</v>
      </c>
      <c r="Z134" s="168" t="str">
        <f>CONCATENATE(X134,"-",Y134)</f>
        <v>08-Infraestructura física, mantenimiento y dotación (Sedes construidas, mantenidas reforzadas)</v>
      </c>
      <c r="AA134" s="166" t="s">
        <v>227</v>
      </c>
      <c r="AB134" s="167" t="str">
        <f>IFERROR(VLOOKUP(AA134,TD!$N$55:$O$70,2,0)," ")</f>
        <v>Sedes mantenidas</v>
      </c>
      <c r="AC134" s="168" t="str">
        <f>CONCATENATE(AA134,"_",AB134)</f>
        <v>016_Sedes mantenidas</v>
      </c>
      <c r="AD134" s="168" t="str">
        <f>CONCATENATE(Z134," ",AC134)</f>
        <v>08-Infraestructura física, mantenimiento y dotación (Sedes construidas, mantenidas reforzadas) 016_Sedes mantenidas</v>
      </c>
      <c r="AE134" s="167" t="str">
        <f>CONCATENATE(U134,V134,W134,X134,AA134)</f>
        <v>O23011745992024020708016</v>
      </c>
      <c r="AF134" s="167" t="str">
        <f>IFERROR(VLOOKUP(AD134,TD!$J$70:$K$93,2,0)," ")</f>
        <v>PM/0131/0108/45990160207</v>
      </c>
      <c r="AG134" s="114" t="s">
        <v>385</v>
      </c>
      <c r="AH134" s="166" t="s">
        <v>193</v>
      </c>
      <c r="AI134" s="169" t="str">
        <f>CONCATENATE(PAA[[#This Row],[Id Interno]],"-",PAA[[#This Row],[tipo de Contrato (TH talento humano - B/S bienes y/o servicios)]],"-",S134,"-",T134,"-",PAA[[#This Row],[Objeto de la contratación]])</f>
        <v>20260087-TH-8126-9--Prestar servicios profesionales jurídicos para apoyar la instrucción y demás actuaciones que deban surtirse en los procesos disciplinarios adelantados por la Oficina de Control Disciplinario Interno.</v>
      </c>
    </row>
    <row r="135" spans="2:35" ht="56" x14ac:dyDescent="0.35">
      <c r="B135" s="23">
        <v>20260088</v>
      </c>
      <c r="C135" s="97" t="s">
        <v>423</v>
      </c>
      <c r="D135" s="23" t="s">
        <v>105</v>
      </c>
      <c r="E135" s="23" t="s">
        <v>363</v>
      </c>
      <c r="F135" s="163" t="s">
        <v>144</v>
      </c>
      <c r="G135" s="164" t="s">
        <v>374</v>
      </c>
      <c r="H135" s="165">
        <v>10</v>
      </c>
      <c r="I135" s="165">
        <v>0</v>
      </c>
      <c r="J135" s="122">
        <v>28000000</v>
      </c>
      <c r="K135" s="88" t="s">
        <v>398</v>
      </c>
      <c r="L135" s="163" t="s">
        <v>46</v>
      </c>
      <c r="M135" s="166" t="s">
        <v>1228</v>
      </c>
      <c r="N135" s="23" t="s">
        <v>197</v>
      </c>
      <c r="O135" s="144" t="s">
        <v>886</v>
      </c>
      <c r="P135" s="163" t="s">
        <v>348</v>
      </c>
      <c r="Q135" s="53">
        <v>80111600</v>
      </c>
      <c r="R135" s="166" t="s">
        <v>208</v>
      </c>
      <c r="S135" s="166" t="str">
        <f>MID(PAA[[#This Row],[Meta Proyecto de Inversión]],1,4)</f>
        <v>8126</v>
      </c>
      <c r="T135" s="166" t="str">
        <f>MID(PAA[[#This Row],[Meta Proyecto de Inversión]],6,2)</f>
        <v>9-</v>
      </c>
      <c r="U135" s="167" t="str">
        <f>IFERROR(VLOOKUP(N135,TD!$B$54:$F$58,2,0)," ")</f>
        <v>O230117</v>
      </c>
      <c r="V135" s="167" t="str">
        <f>IFERROR(VLOOKUP(N135,TD!$B$54:$F$58,3,0)," ")</f>
        <v>4599</v>
      </c>
      <c r="W135" s="167">
        <f>IFERROR(VLOOKUP(N135,TD!$B$54:$F$58,4,0)," ")</f>
        <v>20240207</v>
      </c>
      <c r="X135" s="166" t="s">
        <v>174</v>
      </c>
      <c r="Y135" s="167" t="str">
        <f>IFERROR(VLOOKUP(X135,TD!$J$55:$K$68,2,0)," ")</f>
        <v>Infraestructura física, mantenimiento y dotación (Sedes construidas, mantenidas reforzadas)</v>
      </c>
      <c r="Z135" s="168" t="str">
        <f>CONCATENATE(X135,"-",Y135)</f>
        <v>08-Infraestructura física, mantenimiento y dotación (Sedes construidas, mantenidas reforzadas)</v>
      </c>
      <c r="AA135" s="166" t="s">
        <v>227</v>
      </c>
      <c r="AB135" s="167" t="str">
        <f>IFERROR(VLOOKUP(AA135,TD!$N$55:$O$70,2,0)," ")</f>
        <v>Sedes mantenidas</v>
      </c>
      <c r="AC135" s="168" t="str">
        <f>CONCATENATE(AA135,"_",AB135)</f>
        <v>016_Sedes mantenidas</v>
      </c>
      <c r="AD135" s="168" t="str">
        <f>CONCATENATE(Z135," ",AC135)</f>
        <v>08-Infraestructura física, mantenimiento y dotación (Sedes construidas, mantenidas reforzadas) 016_Sedes mantenidas</v>
      </c>
      <c r="AE135" s="167" t="str">
        <f>CONCATENATE(U135,V135,W135,X135,AA135)</f>
        <v>O23011745992024020708016</v>
      </c>
      <c r="AF135" s="167" t="str">
        <f>IFERROR(VLOOKUP(AD135,TD!$J$70:$K$93,2,0)," ")</f>
        <v>PM/0131/0108/45990160207</v>
      </c>
      <c r="AG135" s="114" t="s">
        <v>385</v>
      </c>
      <c r="AH135" s="166" t="s">
        <v>193</v>
      </c>
      <c r="AI135" s="169" t="str">
        <f>CONCATENATE(PAA[[#This Row],[Id Interno]],"-",PAA[[#This Row],[tipo de Contrato (TH talento humano - B/S bienes y/o servicios)]],"-",S135,"-",T135,"-",PAA[[#This Row],[Objeto de la contratación]])</f>
        <v>20260088-TH-8126-9--Prestar servicios profesionales jurídicos para apoyar la instrucción y demás actuaciones que deban surtirse en los procesos disciplinarios adelantados por la Oficina de Control Disciplinario Interno.</v>
      </c>
    </row>
    <row r="136" spans="2:35" ht="56" x14ac:dyDescent="0.35">
      <c r="B136" s="23">
        <v>20260089</v>
      </c>
      <c r="C136" s="97" t="s">
        <v>424</v>
      </c>
      <c r="D136" s="23" t="s">
        <v>105</v>
      </c>
      <c r="E136" s="23" t="s">
        <v>363</v>
      </c>
      <c r="F136" s="163" t="s">
        <v>144</v>
      </c>
      <c r="G136" s="164" t="s">
        <v>374</v>
      </c>
      <c r="H136" s="165">
        <v>10</v>
      </c>
      <c r="I136" s="165">
        <v>0</v>
      </c>
      <c r="J136" s="122">
        <v>54000000</v>
      </c>
      <c r="K136" s="88" t="s">
        <v>398</v>
      </c>
      <c r="L136" s="163" t="s">
        <v>46</v>
      </c>
      <c r="M136" s="166" t="s">
        <v>1228</v>
      </c>
      <c r="N136" s="23" t="s">
        <v>197</v>
      </c>
      <c r="O136" s="144" t="s">
        <v>886</v>
      </c>
      <c r="P136" s="163" t="s">
        <v>348</v>
      </c>
      <c r="Q136" s="53">
        <v>80111600</v>
      </c>
      <c r="R136" s="166" t="s">
        <v>208</v>
      </c>
      <c r="S136" s="166" t="str">
        <f>MID(PAA[[#This Row],[Meta Proyecto de Inversión]],1,4)</f>
        <v>8126</v>
      </c>
      <c r="T136" s="166" t="str">
        <f>MID(PAA[[#This Row],[Meta Proyecto de Inversión]],6,2)</f>
        <v>9-</v>
      </c>
      <c r="U136" s="167" t="str">
        <f>IFERROR(VLOOKUP(N136,TD!$B$54:$F$58,2,0)," ")</f>
        <v>O230117</v>
      </c>
      <c r="V136" s="167" t="str">
        <f>IFERROR(VLOOKUP(N136,TD!$B$54:$F$58,3,0)," ")</f>
        <v>4599</v>
      </c>
      <c r="W136" s="167">
        <f>IFERROR(VLOOKUP(N136,TD!$B$54:$F$58,4,0)," ")</f>
        <v>20240207</v>
      </c>
      <c r="X136" s="166" t="s">
        <v>174</v>
      </c>
      <c r="Y136" s="167" t="str">
        <f>IFERROR(VLOOKUP(X136,TD!$J$55:$K$68,2,0)," ")</f>
        <v>Infraestructura física, mantenimiento y dotación (Sedes construidas, mantenidas reforzadas)</v>
      </c>
      <c r="Z136" s="168" t="str">
        <f>CONCATENATE(X136,"-",Y136)</f>
        <v>08-Infraestructura física, mantenimiento y dotación (Sedes construidas, mantenidas reforzadas)</v>
      </c>
      <c r="AA136" s="166" t="s">
        <v>227</v>
      </c>
      <c r="AB136" s="167" t="str">
        <f>IFERROR(VLOOKUP(AA136,TD!$N$55:$O$70,2,0)," ")</f>
        <v>Sedes mantenidas</v>
      </c>
      <c r="AC136" s="168" t="str">
        <f>CONCATENATE(AA136,"_",AB136)</f>
        <v>016_Sedes mantenidas</v>
      </c>
      <c r="AD136" s="168" t="str">
        <f>CONCATENATE(Z136," ",AC136)</f>
        <v>08-Infraestructura física, mantenimiento y dotación (Sedes construidas, mantenidas reforzadas) 016_Sedes mantenidas</v>
      </c>
      <c r="AE136" s="167" t="str">
        <f>CONCATENATE(U136,V136,W136,X136,AA136)</f>
        <v>O23011745992024020708016</v>
      </c>
      <c r="AF136" s="167" t="str">
        <f>IFERROR(VLOOKUP(AD136,TD!$J$70:$K$93,2,0)," ")</f>
        <v>PM/0131/0108/45990160207</v>
      </c>
      <c r="AG136" s="114" t="s">
        <v>385</v>
      </c>
      <c r="AH136" s="166" t="s">
        <v>193</v>
      </c>
      <c r="AI136" s="169" t="str">
        <f>CONCATENATE(PAA[[#This Row],[Id Interno]],"-",PAA[[#This Row],[tipo de Contrato (TH talento humano - B/S bienes y/o servicios)]],"-",S136,"-",T136,"-",PAA[[#This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137" spans="2:35" ht="56" x14ac:dyDescent="0.35">
      <c r="B137" s="23">
        <v>20260090</v>
      </c>
      <c r="C137" s="97" t="s">
        <v>583</v>
      </c>
      <c r="D137" s="23" t="s">
        <v>105</v>
      </c>
      <c r="E137" s="23" t="s">
        <v>363</v>
      </c>
      <c r="F137" s="163" t="s">
        <v>145</v>
      </c>
      <c r="G137" s="164" t="s">
        <v>374</v>
      </c>
      <c r="H137" s="165">
        <v>10</v>
      </c>
      <c r="I137" s="165">
        <v>0</v>
      </c>
      <c r="J137" s="122">
        <v>36000000</v>
      </c>
      <c r="K137" s="88" t="s">
        <v>398</v>
      </c>
      <c r="L137" s="163" t="s">
        <v>46</v>
      </c>
      <c r="M137" s="166" t="s">
        <v>1228</v>
      </c>
      <c r="N137" s="23" t="s">
        <v>197</v>
      </c>
      <c r="O137" s="144" t="s">
        <v>886</v>
      </c>
      <c r="P137" s="163" t="s">
        <v>348</v>
      </c>
      <c r="Q137" s="53">
        <v>80111600</v>
      </c>
      <c r="R137" s="166" t="s">
        <v>208</v>
      </c>
      <c r="S137" s="166" t="str">
        <f>MID(PAA[[#This Row],[Meta Proyecto de Inversión]],1,4)</f>
        <v>8126</v>
      </c>
      <c r="T137" s="166" t="str">
        <f>MID(PAA[[#This Row],[Meta Proyecto de Inversión]],6,2)</f>
        <v>9-</v>
      </c>
      <c r="U137" s="167" t="str">
        <f>IFERROR(VLOOKUP(N137,TD!$B$54:$F$58,2,0)," ")</f>
        <v>O230117</v>
      </c>
      <c r="V137" s="167" t="str">
        <f>IFERROR(VLOOKUP(N137,TD!$B$54:$F$58,3,0)," ")</f>
        <v>4599</v>
      </c>
      <c r="W137" s="167">
        <f>IFERROR(VLOOKUP(N137,TD!$B$54:$F$58,4,0)," ")</f>
        <v>20240207</v>
      </c>
      <c r="X137" s="166" t="s">
        <v>174</v>
      </c>
      <c r="Y137" s="167" t="str">
        <f>IFERROR(VLOOKUP(X137,TD!$J$55:$K$68,2,0)," ")</f>
        <v>Infraestructura física, mantenimiento y dotación (Sedes construidas, mantenidas reforzadas)</v>
      </c>
      <c r="Z137" s="168" t="str">
        <f>CONCATENATE(X137,"-",Y137)</f>
        <v>08-Infraestructura física, mantenimiento y dotación (Sedes construidas, mantenidas reforzadas)</v>
      </c>
      <c r="AA137" s="166" t="s">
        <v>227</v>
      </c>
      <c r="AB137" s="167" t="str">
        <f>IFERROR(VLOOKUP(AA137,TD!$N$55:$O$70,2,0)," ")</f>
        <v>Sedes mantenidas</v>
      </c>
      <c r="AC137" s="168" t="str">
        <f>CONCATENATE(AA137,"_",AB137)</f>
        <v>016_Sedes mantenidas</v>
      </c>
      <c r="AD137" s="168" t="str">
        <f>CONCATENATE(Z137," ",AC137)</f>
        <v>08-Infraestructura física, mantenimiento y dotación (Sedes construidas, mantenidas reforzadas) 016_Sedes mantenidas</v>
      </c>
      <c r="AE137" s="167" t="str">
        <f>CONCATENATE(U137,V137,W137,X137,AA137)</f>
        <v>O23011745992024020708016</v>
      </c>
      <c r="AF137" s="167" t="str">
        <f>IFERROR(VLOOKUP(AD137,TD!$J$70:$K$93,2,0)," ")</f>
        <v>PM/0131/0108/45990160207</v>
      </c>
      <c r="AG137" s="114" t="s">
        <v>385</v>
      </c>
      <c r="AH137" s="166" t="s">
        <v>193</v>
      </c>
      <c r="AI137" s="169" t="str">
        <f>CONCATENATE(PAA[[#This Row],[Id Interno]],"-",PAA[[#This Row],[tipo de Contrato (TH talento humano - B/S bienes y/o servicios)]],"-",S137,"-",T137,"-",PAA[[#This Row],[Objeto de la contratación]])</f>
        <v>20260090-TH-8126-9--Prestación de servicios de apoyo técnico a la Oficina de Control Disciplinario Interno de la UAECOB para la gestión y cumplimiento de las funciones administrativas asignadas.</v>
      </c>
    </row>
    <row r="138" spans="2:35" ht="56" x14ac:dyDescent="0.35">
      <c r="B138" s="23">
        <v>20260091</v>
      </c>
      <c r="C138" s="97" t="s">
        <v>584</v>
      </c>
      <c r="D138" s="23" t="s">
        <v>105</v>
      </c>
      <c r="E138" s="23" t="s">
        <v>363</v>
      </c>
      <c r="F138" s="163" t="s">
        <v>145</v>
      </c>
      <c r="G138" s="164" t="s">
        <v>374</v>
      </c>
      <c r="H138" s="165">
        <v>10</v>
      </c>
      <c r="I138" s="165">
        <v>0</v>
      </c>
      <c r="J138" s="122">
        <v>25200000</v>
      </c>
      <c r="K138" s="88" t="s">
        <v>398</v>
      </c>
      <c r="L138" s="163" t="s">
        <v>46</v>
      </c>
      <c r="M138" s="166" t="s">
        <v>1228</v>
      </c>
      <c r="N138" s="23" t="s">
        <v>197</v>
      </c>
      <c r="O138" s="144" t="s">
        <v>886</v>
      </c>
      <c r="P138" s="163" t="s">
        <v>348</v>
      </c>
      <c r="Q138" s="53">
        <v>80111600</v>
      </c>
      <c r="R138" s="166" t="s">
        <v>208</v>
      </c>
      <c r="S138" s="166" t="str">
        <f>MID(PAA[[#This Row],[Meta Proyecto de Inversión]],1,4)</f>
        <v>8126</v>
      </c>
      <c r="T138" s="166" t="str">
        <f>MID(PAA[[#This Row],[Meta Proyecto de Inversión]],6,2)</f>
        <v>9-</v>
      </c>
      <c r="U138" s="167" t="str">
        <f>IFERROR(VLOOKUP(N138,TD!$B$54:$F$58,2,0)," ")</f>
        <v>O230117</v>
      </c>
      <c r="V138" s="167" t="str">
        <f>IFERROR(VLOOKUP(N138,TD!$B$54:$F$58,3,0)," ")</f>
        <v>4599</v>
      </c>
      <c r="W138" s="167">
        <f>IFERROR(VLOOKUP(N138,TD!$B$54:$F$58,4,0)," ")</f>
        <v>20240207</v>
      </c>
      <c r="X138" s="166" t="s">
        <v>174</v>
      </c>
      <c r="Y138" s="167" t="str">
        <f>IFERROR(VLOOKUP(X138,TD!$J$55:$K$68,2,0)," ")</f>
        <v>Infraestructura física, mantenimiento y dotación (Sedes construidas, mantenidas reforzadas)</v>
      </c>
      <c r="Z138" s="168" t="str">
        <f>CONCATENATE(X138,"-",Y138)</f>
        <v>08-Infraestructura física, mantenimiento y dotación (Sedes construidas, mantenidas reforzadas)</v>
      </c>
      <c r="AA138" s="166" t="s">
        <v>227</v>
      </c>
      <c r="AB138" s="167" t="str">
        <f>IFERROR(VLOOKUP(AA138,TD!$N$55:$O$70,2,0)," ")</f>
        <v>Sedes mantenidas</v>
      </c>
      <c r="AC138" s="168" t="str">
        <f>CONCATENATE(AA138,"_",AB138)</f>
        <v>016_Sedes mantenidas</v>
      </c>
      <c r="AD138" s="168" t="str">
        <f>CONCATENATE(Z138," ",AC138)</f>
        <v>08-Infraestructura física, mantenimiento y dotación (Sedes construidas, mantenidas reforzadas) 016_Sedes mantenidas</v>
      </c>
      <c r="AE138" s="167" t="str">
        <f>CONCATENATE(U138,V138,W138,X138,AA138)</f>
        <v>O23011745992024020708016</v>
      </c>
      <c r="AF138" s="167" t="str">
        <f>IFERROR(VLOOKUP(AD138,TD!$J$70:$K$93,2,0)," ")</f>
        <v>PM/0131/0108/45990160207</v>
      </c>
      <c r="AG138" s="114" t="s">
        <v>385</v>
      </c>
      <c r="AH138" s="166" t="s">
        <v>193</v>
      </c>
      <c r="AI138" s="169" t="str">
        <f>CONCATENATE(PAA[[#This Row],[Id Interno]],"-",PAA[[#This Row],[tipo de Contrato (TH talento humano - B/S bienes y/o servicios)]],"-",S138,"-",T138,"-",PAA[[#This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139" spans="2:35" ht="42" x14ac:dyDescent="0.35">
      <c r="B139" s="23">
        <v>20260092</v>
      </c>
      <c r="C139" s="97" t="s">
        <v>585</v>
      </c>
      <c r="D139" s="23" t="s">
        <v>105</v>
      </c>
      <c r="E139" s="23" t="s">
        <v>363</v>
      </c>
      <c r="F139" s="163" t="s">
        <v>144</v>
      </c>
      <c r="G139" s="164" t="s">
        <v>374</v>
      </c>
      <c r="H139" s="165">
        <v>10</v>
      </c>
      <c r="I139" s="165">
        <v>0</v>
      </c>
      <c r="J139" s="122">
        <v>60000000</v>
      </c>
      <c r="K139" s="88" t="s">
        <v>398</v>
      </c>
      <c r="L139" s="163" t="s">
        <v>46</v>
      </c>
      <c r="M139" s="166" t="s">
        <v>1228</v>
      </c>
      <c r="N139" s="23" t="s">
        <v>197</v>
      </c>
      <c r="O139" s="144" t="s">
        <v>886</v>
      </c>
      <c r="P139" s="163" t="s">
        <v>348</v>
      </c>
      <c r="Q139" s="53">
        <v>80111600</v>
      </c>
      <c r="R139" s="166" t="s">
        <v>208</v>
      </c>
      <c r="S139" s="166" t="str">
        <f>MID(PAA[[#This Row],[Meta Proyecto de Inversión]],1,4)</f>
        <v>8126</v>
      </c>
      <c r="T139" s="166" t="str">
        <f>MID(PAA[[#This Row],[Meta Proyecto de Inversión]],6,2)</f>
        <v>9-</v>
      </c>
      <c r="U139" s="167" t="str">
        <f>IFERROR(VLOOKUP(N139,TD!$B$54:$F$58,2,0)," ")</f>
        <v>O230117</v>
      </c>
      <c r="V139" s="167" t="str">
        <f>IFERROR(VLOOKUP(N139,TD!$B$54:$F$58,3,0)," ")</f>
        <v>4599</v>
      </c>
      <c r="W139" s="167">
        <f>IFERROR(VLOOKUP(N139,TD!$B$54:$F$58,4,0)," ")</f>
        <v>20240207</v>
      </c>
      <c r="X139" s="166" t="s">
        <v>174</v>
      </c>
      <c r="Y139" s="167" t="str">
        <f>IFERROR(VLOOKUP(X139,TD!$J$55:$K$68,2,0)," ")</f>
        <v>Infraestructura física, mantenimiento y dotación (Sedes construidas, mantenidas reforzadas)</v>
      </c>
      <c r="Z139" s="168" t="str">
        <f>CONCATENATE(X139,"-",Y139)</f>
        <v>08-Infraestructura física, mantenimiento y dotación (Sedes construidas, mantenidas reforzadas)</v>
      </c>
      <c r="AA139" s="166" t="s">
        <v>227</v>
      </c>
      <c r="AB139" s="167" t="str">
        <f>IFERROR(VLOOKUP(AA139,TD!$N$55:$O$70,2,0)," ")</f>
        <v>Sedes mantenidas</v>
      </c>
      <c r="AC139" s="168" t="str">
        <f>CONCATENATE(AA139,"_",AB139)</f>
        <v>016_Sedes mantenidas</v>
      </c>
      <c r="AD139" s="168" t="str">
        <f>CONCATENATE(Z139," ",AC139)</f>
        <v>08-Infraestructura física, mantenimiento y dotación (Sedes construidas, mantenidas reforzadas) 016_Sedes mantenidas</v>
      </c>
      <c r="AE139" s="167" t="str">
        <f>CONCATENATE(U139,V139,W139,X139,AA139)</f>
        <v>O23011745992024020708016</v>
      </c>
      <c r="AF139" s="167" t="str">
        <f>IFERROR(VLOOKUP(AD139,TD!$J$70:$K$93,2,0)," ")</f>
        <v>PM/0131/0108/45990160207</v>
      </c>
      <c r="AG139" s="114" t="s">
        <v>385</v>
      </c>
      <c r="AH139" s="166" t="s">
        <v>193</v>
      </c>
      <c r="AI139" s="169" t="str">
        <f>CONCATENATE(PAA[[#This Row],[Id Interno]],"-",PAA[[#This Row],[tipo de Contrato (TH talento humano - B/S bienes y/o servicios)]],"-",S139,"-",T139,"-",PAA[[#This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140" spans="2:35" ht="70" x14ac:dyDescent="0.35">
      <c r="B140" s="23">
        <v>20260093</v>
      </c>
      <c r="C140" s="97" t="s">
        <v>425</v>
      </c>
      <c r="D140" s="23" t="s">
        <v>105</v>
      </c>
      <c r="E140" s="23" t="s">
        <v>363</v>
      </c>
      <c r="F140" s="163" t="s">
        <v>144</v>
      </c>
      <c r="G140" s="164" t="s">
        <v>373</v>
      </c>
      <c r="H140" s="165">
        <v>11</v>
      </c>
      <c r="I140" s="165">
        <v>0</v>
      </c>
      <c r="J140" s="122">
        <v>85157996</v>
      </c>
      <c r="K140" s="88" t="s">
        <v>398</v>
      </c>
      <c r="L140" s="163" t="s">
        <v>152</v>
      </c>
      <c r="M140" s="166" t="s">
        <v>893</v>
      </c>
      <c r="N140" s="23" t="s">
        <v>197</v>
      </c>
      <c r="O140" s="144" t="s">
        <v>886</v>
      </c>
      <c r="P140" s="163" t="s">
        <v>348</v>
      </c>
      <c r="Q140" s="53">
        <v>80111600</v>
      </c>
      <c r="R140" s="166" t="s">
        <v>208</v>
      </c>
      <c r="S140" s="166" t="str">
        <f>MID(PAA[[#This Row],[Meta Proyecto de Inversión]],1,4)</f>
        <v>8126</v>
      </c>
      <c r="T140" s="166" t="str">
        <f>MID(PAA[[#This Row],[Meta Proyecto de Inversión]],6,2)</f>
        <v>9-</v>
      </c>
      <c r="U140" s="167" t="str">
        <f>IFERROR(VLOOKUP(N140,TD!$B$54:$F$58,2,0)," ")</f>
        <v>O230117</v>
      </c>
      <c r="V140" s="167" t="str">
        <f>IFERROR(VLOOKUP(N140,TD!$B$54:$F$58,3,0)," ")</f>
        <v>4599</v>
      </c>
      <c r="W140" s="167">
        <f>IFERROR(VLOOKUP(N140,TD!$B$54:$F$58,4,0)," ")</f>
        <v>20240207</v>
      </c>
      <c r="X140" s="166" t="s">
        <v>174</v>
      </c>
      <c r="Y140" s="167" t="str">
        <f>IFERROR(VLOOKUP(X140,TD!$J$55:$K$68,2,0)," ")</f>
        <v>Infraestructura física, mantenimiento y dotación (Sedes construidas, mantenidas reforzadas)</v>
      </c>
      <c r="Z140" s="168" t="str">
        <f>CONCATENATE(X140,"-",Y140)</f>
        <v>08-Infraestructura física, mantenimiento y dotación (Sedes construidas, mantenidas reforzadas)</v>
      </c>
      <c r="AA140" s="166" t="s">
        <v>227</v>
      </c>
      <c r="AB140" s="167" t="str">
        <f>IFERROR(VLOOKUP(AA140,TD!$N$55:$O$70,2,0)," ")</f>
        <v>Sedes mantenidas</v>
      </c>
      <c r="AC140" s="168" t="str">
        <f>CONCATENATE(AA140,"_",AB140)</f>
        <v>016_Sedes mantenidas</v>
      </c>
      <c r="AD140" s="168" t="str">
        <f>CONCATENATE(Z140," ",AC140)</f>
        <v>08-Infraestructura física, mantenimiento y dotación (Sedes construidas, mantenidas reforzadas) 016_Sedes mantenidas</v>
      </c>
      <c r="AE140" s="167" t="str">
        <f>CONCATENATE(U140,V140,W140,X140,AA140)</f>
        <v>O23011745992024020708016</v>
      </c>
      <c r="AF140" s="167" t="str">
        <f>IFERROR(VLOOKUP(AD140,TD!$J$70:$K$93,2,0)," ")</f>
        <v>PM/0131/0108/45990160207</v>
      </c>
      <c r="AG140" s="114" t="s">
        <v>385</v>
      </c>
      <c r="AH140" s="166" t="s">
        <v>193</v>
      </c>
      <c r="AI140" s="169" t="str">
        <f>CONCATENATE(PAA[[#This Row],[Id Interno]],"-",PAA[[#This Row],[tipo de Contrato (TH talento humano - B/S bienes y/o servicios)]],"-",S140,"-",T140,"-",PAA[[#This Row],[Objeto de la contratación]])</f>
        <v>20260093-TH-8126-9--Prestar los servicios profesionales como abogado en la Oficina de Control Interno para el desarrollo del Plan Anual de Auditorías.</v>
      </c>
    </row>
    <row r="141" spans="2:35" ht="84" x14ac:dyDescent="0.35">
      <c r="B141" s="23">
        <v>20260094</v>
      </c>
      <c r="C141" s="97" t="s">
        <v>426</v>
      </c>
      <c r="D141" s="23" t="s">
        <v>105</v>
      </c>
      <c r="E141" s="23" t="s">
        <v>363</v>
      </c>
      <c r="F141" s="163" t="s">
        <v>144</v>
      </c>
      <c r="G141" s="164" t="s">
        <v>373</v>
      </c>
      <c r="H141" s="165">
        <v>11</v>
      </c>
      <c r="I141" s="165">
        <v>0</v>
      </c>
      <c r="J141" s="122">
        <v>85157996</v>
      </c>
      <c r="K141" s="88" t="s">
        <v>398</v>
      </c>
      <c r="L141" s="163" t="s">
        <v>152</v>
      </c>
      <c r="M141" s="166" t="s">
        <v>893</v>
      </c>
      <c r="N141" s="23" t="s">
        <v>197</v>
      </c>
      <c r="O141" s="144" t="s">
        <v>886</v>
      </c>
      <c r="P141" s="163" t="s">
        <v>348</v>
      </c>
      <c r="Q141" s="53">
        <v>80111600</v>
      </c>
      <c r="R141" s="166" t="s">
        <v>208</v>
      </c>
      <c r="S141" s="166" t="str">
        <f>MID(PAA[[#This Row],[Meta Proyecto de Inversión]],1,4)</f>
        <v>8126</v>
      </c>
      <c r="T141" s="166" t="str">
        <f>MID(PAA[[#This Row],[Meta Proyecto de Inversión]],6,2)</f>
        <v>9-</v>
      </c>
      <c r="U141" s="167" t="str">
        <f>IFERROR(VLOOKUP(N141,TD!$B$54:$F$58,2,0)," ")</f>
        <v>O230117</v>
      </c>
      <c r="V141" s="167" t="str">
        <f>IFERROR(VLOOKUP(N141,TD!$B$54:$F$58,3,0)," ")</f>
        <v>4599</v>
      </c>
      <c r="W141" s="167">
        <f>IFERROR(VLOOKUP(N141,TD!$B$54:$F$58,4,0)," ")</f>
        <v>20240207</v>
      </c>
      <c r="X141" s="166" t="s">
        <v>174</v>
      </c>
      <c r="Y141" s="167" t="str">
        <f>IFERROR(VLOOKUP(X141,TD!$J$55:$K$68,2,0)," ")</f>
        <v>Infraestructura física, mantenimiento y dotación (Sedes construidas, mantenidas reforzadas)</v>
      </c>
      <c r="Z141" s="168" t="str">
        <f>CONCATENATE(X141,"-",Y141)</f>
        <v>08-Infraestructura física, mantenimiento y dotación (Sedes construidas, mantenidas reforzadas)</v>
      </c>
      <c r="AA141" s="166" t="s">
        <v>227</v>
      </c>
      <c r="AB141" s="167" t="str">
        <f>IFERROR(VLOOKUP(AA141,TD!$N$55:$O$70,2,0)," ")</f>
        <v>Sedes mantenidas</v>
      </c>
      <c r="AC141" s="168" t="str">
        <f>CONCATENATE(AA141,"_",AB141)</f>
        <v>016_Sedes mantenidas</v>
      </c>
      <c r="AD141" s="168" t="str">
        <f>CONCATENATE(Z141," ",AC141)</f>
        <v>08-Infraestructura física, mantenimiento y dotación (Sedes construidas, mantenidas reforzadas) 016_Sedes mantenidas</v>
      </c>
      <c r="AE141" s="167" t="str">
        <f>CONCATENATE(U141,V141,W141,X141,AA141)</f>
        <v>O23011745992024020708016</v>
      </c>
      <c r="AF141" s="167" t="str">
        <f>IFERROR(VLOOKUP(AD141,TD!$J$70:$K$93,2,0)," ")</f>
        <v>PM/0131/0108/45990160207</v>
      </c>
      <c r="AG141" s="114" t="s">
        <v>385</v>
      </c>
      <c r="AH141" s="166" t="s">
        <v>193</v>
      </c>
      <c r="AI141" s="169" t="str">
        <f>CONCATENATE(PAA[[#This Row],[Id Interno]],"-",PAA[[#This Row],[tipo de Contrato (TH talento humano - B/S bienes y/o servicios)]],"-",S141,"-",T141,"-",PAA[[#This Row],[Objeto de la contratación]])</f>
        <v>20260094-TH-8126-9--Prestar los servicios profesionales como contador público en la Oficina de Control Interno para el desarrollo del Plan Anual de Auditorías.</v>
      </c>
    </row>
    <row r="142" spans="2:35" ht="42" x14ac:dyDescent="0.35">
      <c r="B142" s="23">
        <v>20260095</v>
      </c>
      <c r="C142" s="97" t="s">
        <v>427</v>
      </c>
      <c r="D142" s="23" t="s">
        <v>105</v>
      </c>
      <c r="E142" s="23" t="s">
        <v>363</v>
      </c>
      <c r="F142" s="163" t="s">
        <v>144</v>
      </c>
      <c r="G142" s="164" t="s">
        <v>373</v>
      </c>
      <c r="H142" s="165">
        <v>11</v>
      </c>
      <c r="I142" s="165">
        <v>0</v>
      </c>
      <c r="J142" s="122">
        <v>85157996</v>
      </c>
      <c r="K142" s="88" t="s">
        <v>398</v>
      </c>
      <c r="L142" s="163" t="s">
        <v>152</v>
      </c>
      <c r="M142" s="166" t="s">
        <v>893</v>
      </c>
      <c r="N142" s="23" t="s">
        <v>197</v>
      </c>
      <c r="O142" s="144" t="s">
        <v>886</v>
      </c>
      <c r="P142" s="163" t="s">
        <v>348</v>
      </c>
      <c r="Q142" s="53">
        <v>80111600</v>
      </c>
      <c r="R142" s="166" t="s">
        <v>208</v>
      </c>
      <c r="S142" s="166" t="str">
        <f>MID(PAA[[#This Row],[Meta Proyecto de Inversión]],1,4)</f>
        <v>8126</v>
      </c>
      <c r="T142" s="166" t="str">
        <f>MID(PAA[[#This Row],[Meta Proyecto de Inversión]],6,2)</f>
        <v>9-</v>
      </c>
      <c r="U142" s="167" t="str">
        <f>IFERROR(VLOOKUP(N142,TD!$B$54:$F$58,2,0)," ")</f>
        <v>O230117</v>
      </c>
      <c r="V142" s="167" t="str">
        <f>IFERROR(VLOOKUP(N142,TD!$B$54:$F$58,3,0)," ")</f>
        <v>4599</v>
      </c>
      <c r="W142" s="167">
        <f>IFERROR(VLOOKUP(N142,TD!$B$54:$F$58,4,0)," ")</f>
        <v>20240207</v>
      </c>
      <c r="X142" s="166" t="s">
        <v>174</v>
      </c>
      <c r="Y142" s="167" t="str">
        <f>IFERROR(VLOOKUP(X142,TD!$J$55:$K$68,2,0)," ")</f>
        <v>Infraestructura física, mantenimiento y dotación (Sedes construidas, mantenidas reforzadas)</v>
      </c>
      <c r="Z142" s="168" t="str">
        <f>CONCATENATE(X142,"-",Y142)</f>
        <v>08-Infraestructura física, mantenimiento y dotación (Sedes construidas, mantenidas reforzadas)</v>
      </c>
      <c r="AA142" s="166" t="s">
        <v>227</v>
      </c>
      <c r="AB142" s="167" t="str">
        <f>IFERROR(VLOOKUP(AA142,TD!$N$55:$O$70,2,0)," ")</f>
        <v>Sedes mantenidas</v>
      </c>
      <c r="AC142" s="168" t="str">
        <f>CONCATENATE(AA142,"_",AB142)</f>
        <v>016_Sedes mantenidas</v>
      </c>
      <c r="AD142" s="168" t="str">
        <f>CONCATENATE(Z142," ",AC142)</f>
        <v>08-Infraestructura física, mantenimiento y dotación (Sedes construidas, mantenidas reforzadas) 016_Sedes mantenidas</v>
      </c>
      <c r="AE142" s="167" t="str">
        <f>CONCATENATE(U142,V142,W142,X142,AA142)</f>
        <v>O23011745992024020708016</v>
      </c>
      <c r="AF142" s="167" t="str">
        <f>IFERROR(VLOOKUP(AD142,TD!$J$70:$K$93,2,0)," ")</f>
        <v>PM/0131/0108/45990160207</v>
      </c>
      <c r="AG142" s="114" t="s">
        <v>385</v>
      </c>
      <c r="AH142" s="166" t="s">
        <v>193</v>
      </c>
      <c r="AI142" s="169" t="str">
        <f>CONCATENATE(PAA[[#This Row],[Id Interno]],"-",PAA[[#This Row],[tipo de Contrato (TH talento humano - B/S bienes y/o servicios)]],"-",S142,"-",T142,"-",PAA[[#This Row],[Objeto de la contratación]])</f>
        <v>20260095-TH-8126-9--Prestar los servicios profesionales en la Oficina de Control Interno para el desarrollo del Plan Anual de Auditorías.</v>
      </c>
    </row>
    <row r="143" spans="2:35" ht="42" x14ac:dyDescent="0.35">
      <c r="B143" s="23">
        <v>20260096</v>
      </c>
      <c r="C143" s="97" t="s">
        <v>427</v>
      </c>
      <c r="D143" s="23" t="s">
        <v>105</v>
      </c>
      <c r="E143" s="23" t="s">
        <v>363</v>
      </c>
      <c r="F143" s="163" t="s">
        <v>144</v>
      </c>
      <c r="G143" s="164" t="s">
        <v>373</v>
      </c>
      <c r="H143" s="165">
        <v>11</v>
      </c>
      <c r="I143" s="165">
        <v>0</v>
      </c>
      <c r="J143" s="122">
        <v>51423999</v>
      </c>
      <c r="K143" s="88" t="s">
        <v>398</v>
      </c>
      <c r="L143" s="163" t="s">
        <v>152</v>
      </c>
      <c r="M143" s="166" t="s">
        <v>893</v>
      </c>
      <c r="N143" s="23" t="s">
        <v>197</v>
      </c>
      <c r="O143" s="144" t="s">
        <v>886</v>
      </c>
      <c r="P143" s="163" t="s">
        <v>348</v>
      </c>
      <c r="Q143" s="53">
        <v>80111600</v>
      </c>
      <c r="R143" s="166" t="s">
        <v>208</v>
      </c>
      <c r="S143" s="166" t="str">
        <f>MID(PAA[[#This Row],[Meta Proyecto de Inversión]],1,4)</f>
        <v>8126</v>
      </c>
      <c r="T143" s="166" t="str">
        <f>MID(PAA[[#This Row],[Meta Proyecto de Inversión]],6,2)</f>
        <v>9-</v>
      </c>
      <c r="U143" s="167" t="str">
        <f>IFERROR(VLOOKUP(N143,TD!$B$54:$F$58,2,0)," ")</f>
        <v>O230117</v>
      </c>
      <c r="V143" s="167" t="str">
        <f>IFERROR(VLOOKUP(N143,TD!$B$54:$F$58,3,0)," ")</f>
        <v>4599</v>
      </c>
      <c r="W143" s="167">
        <f>IFERROR(VLOOKUP(N143,TD!$B$54:$F$58,4,0)," ")</f>
        <v>20240207</v>
      </c>
      <c r="X143" s="166" t="s">
        <v>174</v>
      </c>
      <c r="Y143" s="167" t="str">
        <f>IFERROR(VLOOKUP(X143,TD!$J$55:$K$68,2,0)," ")</f>
        <v>Infraestructura física, mantenimiento y dotación (Sedes construidas, mantenidas reforzadas)</v>
      </c>
      <c r="Z143" s="168" t="str">
        <f>CONCATENATE(X143,"-",Y143)</f>
        <v>08-Infraestructura física, mantenimiento y dotación (Sedes construidas, mantenidas reforzadas)</v>
      </c>
      <c r="AA143" s="166" t="s">
        <v>227</v>
      </c>
      <c r="AB143" s="167" t="str">
        <f>IFERROR(VLOOKUP(AA143,TD!$N$55:$O$70,2,0)," ")</f>
        <v>Sedes mantenidas</v>
      </c>
      <c r="AC143" s="168" t="str">
        <f>CONCATENATE(AA143,"_",AB143)</f>
        <v>016_Sedes mantenidas</v>
      </c>
      <c r="AD143" s="168" t="str">
        <f>CONCATENATE(Z143," ",AC143)</f>
        <v>08-Infraestructura física, mantenimiento y dotación (Sedes construidas, mantenidas reforzadas) 016_Sedes mantenidas</v>
      </c>
      <c r="AE143" s="167" t="str">
        <f>CONCATENATE(U143,V143,W143,X143,AA143)</f>
        <v>O23011745992024020708016</v>
      </c>
      <c r="AF143" s="167" t="str">
        <f>IFERROR(VLOOKUP(AD143,TD!$J$70:$K$93,2,0)," ")</f>
        <v>PM/0131/0108/45990160207</v>
      </c>
      <c r="AG143" s="114" t="s">
        <v>385</v>
      </c>
      <c r="AH143" s="166" t="s">
        <v>193</v>
      </c>
      <c r="AI143" s="169" t="str">
        <f>CONCATENATE(PAA[[#This Row],[Id Interno]],"-",PAA[[#This Row],[tipo de Contrato (TH talento humano - B/S bienes y/o servicios)]],"-",S143,"-",T143,"-",PAA[[#This Row],[Objeto de la contratación]])</f>
        <v>20260096-TH-8126-9--Prestar los servicios profesionales en la Oficina de Control Interno para el desarrollo del Plan Anual de Auditorías.</v>
      </c>
    </row>
    <row r="144" spans="2:35" ht="42" x14ac:dyDescent="0.35">
      <c r="B144" s="23">
        <v>20260097</v>
      </c>
      <c r="C144" s="97" t="s">
        <v>428</v>
      </c>
      <c r="D144" s="23" t="s">
        <v>105</v>
      </c>
      <c r="E144" s="23" t="s">
        <v>363</v>
      </c>
      <c r="F144" s="163" t="s">
        <v>145</v>
      </c>
      <c r="G144" s="164" t="s">
        <v>373</v>
      </c>
      <c r="H144" s="165">
        <v>11</v>
      </c>
      <c r="I144" s="165">
        <v>0</v>
      </c>
      <c r="J144" s="122">
        <v>43101993</v>
      </c>
      <c r="K144" s="88" t="s">
        <v>398</v>
      </c>
      <c r="L144" s="163" t="s">
        <v>152</v>
      </c>
      <c r="M144" s="166" t="s">
        <v>893</v>
      </c>
      <c r="N144" s="23" t="s">
        <v>197</v>
      </c>
      <c r="O144" s="144" t="s">
        <v>886</v>
      </c>
      <c r="P144" s="163" t="s">
        <v>348</v>
      </c>
      <c r="Q144" s="53">
        <v>80111600</v>
      </c>
      <c r="R144" s="166" t="s">
        <v>208</v>
      </c>
      <c r="S144" s="166" t="str">
        <f>MID(PAA[[#This Row],[Meta Proyecto de Inversión]],1,4)</f>
        <v>8126</v>
      </c>
      <c r="T144" s="166" t="str">
        <f>MID(PAA[[#This Row],[Meta Proyecto de Inversión]],6,2)</f>
        <v>9-</v>
      </c>
      <c r="U144" s="167" t="str">
        <f>IFERROR(VLOOKUP(N144,TD!$B$54:$F$58,2,0)," ")</f>
        <v>O230117</v>
      </c>
      <c r="V144" s="167" t="str">
        <f>IFERROR(VLOOKUP(N144,TD!$B$54:$F$58,3,0)," ")</f>
        <v>4599</v>
      </c>
      <c r="W144" s="167">
        <f>IFERROR(VLOOKUP(N144,TD!$B$54:$F$58,4,0)," ")</f>
        <v>20240207</v>
      </c>
      <c r="X144" s="166" t="s">
        <v>174</v>
      </c>
      <c r="Y144" s="167" t="str">
        <f>IFERROR(VLOOKUP(X144,TD!$J$55:$K$68,2,0)," ")</f>
        <v>Infraestructura física, mantenimiento y dotación (Sedes construidas, mantenidas reforzadas)</v>
      </c>
      <c r="Z144" s="168" t="str">
        <f>CONCATENATE(X144,"-",Y144)</f>
        <v>08-Infraestructura física, mantenimiento y dotación (Sedes construidas, mantenidas reforzadas)</v>
      </c>
      <c r="AA144" s="166" t="s">
        <v>227</v>
      </c>
      <c r="AB144" s="167" t="str">
        <f>IFERROR(VLOOKUP(AA144,TD!$N$55:$O$70,2,0)," ")</f>
        <v>Sedes mantenidas</v>
      </c>
      <c r="AC144" s="168" t="str">
        <f>CONCATENATE(AA144,"_",AB144)</f>
        <v>016_Sedes mantenidas</v>
      </c>
      <c r="AD144" s="168" t="str">
        <f>CONCATENATE(Z144," ",AC144)</f>
        <v>08-Infraestructura física, mantenimiento y dotación (Sedes construidas, mantenidas reforzadas) 016_Sedes mantenidas</v>
      </c>
      <c r="AE144" s="167" t="str">
        <f>CONCATENATE(U144,V144,W144,X144,AA144)</f>
        <v>O23011745992024020708016</v>
      </c>
      <c r="AF144" s="167" t="str">
        <f>IFERROR(VLOOKUP(AD144,TD!$J$70:$K$93,2,0)," ")</f>
        <v>PM/0131/0108/45990160207</v>
      </c>
      <c r="AG144" s="114" t="s">
        <v>385</v>
      </c>
      <c r="AH144" s="166" t="s">
        <v>193</v>
      </c>
      <c r="AI144" s="169" t="str">
        <f>CONCATENATE(PAA[[#This Row],[Id Interno]],"-",PAA[[#This Row],[tipo de Contrato (TH talento humano - B/S bienes y/o servicios)]],"-",S144,"-",T144,"-",PAA[[#This Row],[Objeto de la contratación]])</f>
        <v>20260097-TH-8126-9--Prestar servicios de apoyo a la gestión como técnico en la Oficina de Control Interno para ejecutar procesos y procedimientos administrativos y asistenciales teniendo en cuenta el Plan Anual de Auditorías.</v>
      </c>
    </row>
    <row r="145" spans="2:35" ht="42" x14ac:dyDescent="0.35">
      <c r="B145" s="23">
        <v>20260098</v>
      </c>
      <c r="C145" s="97" t="s">
        <v>403</v>
      </c>
      <c r="D145" s="23" t="s">
        <v>105</v>
      </c>
      <c r="E145" s="23" t="s">
        <v>363</v>
      </c>
      <c r="F145" s="163" t="s">
        <v>144</v>
      </c>
      <c r="G145" s="164" t="s">
        <v>374</v>
      </c>
      <c r="H145" s="165">
        <v>9</v>
      </c>
      <c r="I145" s="165">
        <v>0</v>
      </c>
      <c r="J145" s="122">
        <v>90000000</v>
      </c>
      <c r="K145" s="88" t="s">
        <v>398</v>
      </c>
      <c r="L145" s="163" t="s">
        <v>153</v>
      </c>
      <c r="M145" s="166" t="s">
        <v>420</v>
      </c>
      <c r="N145" s="23" t="s">
        <v>197</v>
      </c>
      <c r="O145" s="144" t="s">
        <v>886</v>
      </c>
      <c r="P145" s="163" t="s">
        <v>348</v>
      </c>
      <c r="Q145" s="53">
        <v>80111600</v>
      </c>
      <c r="R145" s="166" t="s">
        <v>208</v>
      </c>
      <c r="S145" s="166" t="str">
        <f>MID(PAA[[#This Row],[Meta Proyecto de Inversión]],1,4)</f>
        <v>8126</v>
      </c>
      <c r="T145" s="166" t="str">
        <f>MID(PAA[[#This Row],[Meta Proyecto de Inversión]],6,2)</f>
        <v>9-</v>
      </c>
      <c r="U145" s="167" t="str">
        <f>IFERROR(VLOOKUP(N145,TD!$B$54:$F$58,2,0)," ")</f>
        <v>O230117</v>
      </c>
      <c r="V145" s="167" t="str">
        <f>IFERROR(VLOOKUP(N145,TD!$B$54:$F$58,3,0)," ")</f>
        <v>4599</v>
      </c>
      <c r="W145" s="167">
        <f>IFERROR(VLOOKUP(N145,TD!$B$54:$F$58,4,0)," ")</f>
        <v>20240207</v>
      </c>
      <c r="X145" s="166" t="s">
        <v>174</v>
      </c>
      <c r="Y145" s="167" t="str">
        <f>IFERROR(VLOOKUP(X145,TD!$J$55:$K$68,2,0)," ")</f>
        <v>Infraestructura física, mantenimiento y dotación (Sedes construidas, mantenidas reforzadas)</v>
      </c>
      <c r="Z145" s="168" t="str">
        <f>CONCATENATE(X145,"-",Y145)</f>
        <v>08-Infraestructura física, mantenimiento y dotación (Sedes construidas, mantenidas reforzadas)</v>
      </c>
      <c r="AA145" s="166" t="s">
        <v>227</v>
      </c>
      <c r="AB145" s="167" t="str">
        <f>IFERROR(VLOOKUP(AA145,TD!$N$55:$O$70,2,0)," ")</f>
        <v>Sedes mantenidas</v>
      </c>
      <c r="AC145" s="168" t="str">
        <f>CONCATENATE(AA145,"_",AB145)</f>
        <v>016_Sedes mantenidas</v>
      </c>
      <c r="AD145" s="168" t="str">
        <f>CONCATENATE(Z145," ",AC145)</f>
        <v>08-Infraestructura física, mantenimiento y dotación (Sedes construidas, mantenidas reforzadas) 016_Sedes mantenidas</v>
      </c>
      <c r="AE145" s="167" t="str">
        <f>CONCATENATE(U145,V145,W145,X145,AA145)</f>
        <v>O23011745992024020708016</v>
      </c>
      <c r="AF145" s="167" t="str">
        <f>IFERROR(VLOOKUP(AD145,TD!$J$70:$K$93,2,0)," ")</f>
        <v>PM/0131/0108/45990160207</v>
      </c>
      <c r="AG145" s="114" t="s">
        <v>385</v>
      </c>
      <c r="AH145" s="166" t="s">
        <v>193</v>
      </c>
      <c r="AI145" s="169" t="str">
        <f>CONCATENATE(PAA[[#This Row],[Id Interno]],"-",PAA[[#This Row],[tipo de Contrato (TH talento humano - B/S bienes y/o servicios)]],"-",S145,"-",T145,"-",PAA[[#This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46" spans="2:35" ht="56" x14ac:dyDescent="0.35">
      <c r="B146" s="23">
        <v>20260099</v>
      </c>
      <c r="C146" s="97" t="s">
        <v>586</v>
      </c>
      <c r="D146" s="23" t="s">
        <v>105</v>
      </c>
      <c r="E146" s="23" t="s">
        <v>363</v>
      </c>
      <c r="F146" s="163" t="s">
        <v>144</v>
      </c>
      <c r="G146" s="164" t="s">
        <v>374</v>
      </c>
      <c r="H146" s="165">
        <v>8</v>
      </c>
      <c r="I146" s="165">
        <v>0</v>
      </c>
      <c r="J146" s="122">
        <v>72000000</v>
      </c>
      <c r="K146" s="88" t="s">
        <v>398</v>
      </c>
      <c r="L146" s="163" t="s">
        <v>153</v>
      </c>
      <c r="M146" s="166" t="s">
        <v>420</v>
      </c>
      <c r="N146" s="23" t="s">
        <v>197</v>
      </c>
      <c r="O146" s="144" t="s">
        <v>886</v>
      </c>
      <c r="P146" s="163" t="s">
        <v>348</v>
      </c>
      <c r="Q146" s="53">
        <v>80111600</v>
      </c>
      <c r="R146" s="166" t="s">
        <v>208</v>
      </c>
      <c r="S146" s="166" t="str">
        <f>MID(PAA[[#This Row],[Meta Proyecto de Inversión]],1,4)</f>
        <v>8126</v>
      </c>
      <c r="T146" s="166" t="str">
        <f>MID(PAA[[#This Row],[Meta Proyecto de Inversión]],6,2)</f>
        <v>9-</v>
      </c>
      <c r="U146" s="167" t="str">
        <f>IFERROR(VLOOKUP(N146,TD!$B$54:$F$58,2,0)," ")</f>
        <v>O230117</v>
      </c>
      <c r="V146" s="167" t="str">
        <f>IFERROR(VLOOKUP(N146,TD!$B$54:$F$58,3,0)," ")</f>
        <v>4599</v>
      </c>
      <c r="W146" s="167">
        <f>IFERROR(VLOOKUP(N146,TD!$B$54:$F$58,4,0)," ")</f>
        <v>20240207</v>
      </c>
      <c r="X146" s="166" t="s">
        <v>174</v>
      </c>
      <c r="Y146" s="167" t="str">
        <f>IFERROR(VLOOKUP(X146,TD!$J$55:$K$68,2,0)," ")</f>
        <v>Infraestructura física, mantenimiento y dotación (Sedes construidas, mantenidas reforzadas)</v>
      </c>
      <c r="Z146" s="168" t="str">
        <f>CONCATENATE(X146,"-",Y146)</f>
        <v>08-Infraestructura física, mantenimiento y dotación (Sedes construidas, mantenidas reforzadas)</v>
      </c>
      <c r="AA146" s="166" t="s">
        <v>227</v>
      </c>
      <c r="AB146" s="167" t="str">
        <f>IFERROR(VLOOKUP(AA146,TD!$N$55:$O$70,2,0)," ")</f>
        <v>Sedes mantenidas</v>
      </c>
      <c r="AC146" s="168" t="str">
        <f>CONCATENATE(AA146,"_",AB146)</f>
        <v>016_Sedes mantenidas</v>
      </c>
      <c r="AD146" s="168" t="str">
        <f>CONCATENATE(Z146," ",AC146)</f>
        <v>08-Infraestructura física, mantenimiento y dotación (Sedes construidas, mantenidas reforzadas) 016_Sedes mantenidas</v>
      </c>
      <c r="AE146" s="167" t="str">
        <f>CONCATENATE(U146,V146,W146,X146,AA146)</f>
        <v>O23011745992024020708016</v>
      </c>
      <c r="AF146" s="167" t="str">
        <f>IFERROR(VLOOKUP(AD146,TD!$J$70:$K$93,2,0)," ")</f>
        <v>PM/0131/0108/45990160207</v>
      </c>
      <c r="AG146" s="114" t="s">
        <v>385</v>
      </c>
      <c r="AH146" s="166" t="s">
        <v>193</v>
      </c>
      <c r="AI146" s="169" t="str">
        <f>CONCATENATE(PAA[[#This Row],[Id Interno]],"-",PAA[[#This Row],[tipo de Contrato (TH talento humano - B/S bienes y/o servicios)]],"-",S146,"-",T146,"-",PAA[[#This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47" spans="2:35" ht="56" x14ac:dyDescent="0.35">
      <c r="B147" s="23">
        <v>20260102</v>
      </c>
      <c r="C147" s="97" t="s">
        <v>408</v>
      </c>
      <c r="D147" s="23" t="s">
        <v>105</v>
      </c>
      <c r="E147" s="23" t="s">
        <v>363</v>
      </c>
      <c r="F147" s="163" t="s">
        <v>144</v>
      </c>
      <c r="G147" s="164" t="s">
        <v>374</v>
      </c>
      <c r="H147" s="165">
        <v>9</v>
      </c>
      <c r="I147" s="165">
        <v>0</v>
      </c>
      <c r="J147" s="122">
        <v>67500000</v>
      </c>
      <c r="K147" s="88" t="s">
        <v>398</v>
      </c>
      <c r="L147" s="163" t="s">
        <v>153</v>
      </c>
      <c r="M147" s="166" t="s">
        <v>420</v>
      </c>
      <c r="N147" s="23" t="s">
        <v>197</v>
      </c>
      <c r="O147" s="144" t="s">
        <v>886</v>
      </c>
      <c r="P147" s="163" t="s">
        <v>348</v>
      </c>
      <c r="Q147" s="53">
        <v>80111600</v>
      </c>
      <c r="R147" s="166" t="s">
        <v>208</v>
      </c>
      <c r="S147" s="166" t="str">
        <f>MID(PAA[[#This Row],[Meta Proyecto de Inversión]],1,4)</f>
        <v>8126</v>
      </c>
      <c r="T147" s="166" t="str">
        <f>MID(PAA[[#This Row],[Meta Proyecto de Inversión]],6,2)</f>
        <v>9-</v>
      </c>
      <c r="U147" s="167" t="str">
        <f>IFERROR(VLOOKUP(N147,TD!$B$54:$F$58,2,0)," ")</f>
        <v>O230117</v>
      </c>
      <c r="V147" s="167" t="str">
        <f>IFERROR(VLOOKUP(N147,TD!$B$54:$F$58,3,0)," ")</f>
        <v>4599</v>
      </c>
      <c r="W147" s="167">
        <f>IFERROR(VLOOKUP(N147,TD!$B$54:$F$58,4,0)," ")</f>
        <v>20240207</v>
      </c>
      <c r="X147" s="166" t="s">
        <v>174</v>
      </c>
      <c r="Y147" s="167" t="str">
        <f>IFERROR(VLOOKUP(X147,TD!$J$55:$K$68,2,0)," ")</f>
        <v>Infraestructura física, mantenimiento y dotación (Sedes construidas, mantenidas reforzadas)</v>
      </c>
      <c r="Z147" s="168" t="str">
        <f>CONCATENATE(X147,"-",Y147)</f>
        <v>08-Infraestructura física, mantenimiento y dotación (Sedes construidas, mantenidas reforzadas)</v>
      </c>
      <c r="AA147" s="166" t="s">
        <v>227</v>
      </c>
      <c r="AB147" s="167" t="str">
        <f>IFERROR(VLOOKUP(AA147,TD!$N$55:$O$70,2,0)," ")</f>
        <v>Sedes mantenidas</v>
      </c>
      <c r="AC147" s="168" t="str">
        <f>CONCATENATE(AA147,"_",AB147)</f>
        <v>016_Sedes mantenidas</v>
      </c>
      <c r="AD147" s="168" t="str">
        <f>CONCATENATE(Z147," ",AC147)</f>
        <v>08-Infraestructura física, mantenimiento y dotación (Sedes construidas, mantenidas reforzadas) 016_Sedes mantenidas</v>
      </c>
      <c r="AE147" s="167" t="str">
        <f>CONCATENATE(U147,V147,W147,X147,AA147)</f>
        <v>O23011745992024020708016</v>
      </c>
      <c r="AF147" s="167" t="str">
        <f>IFERROR(VLOOKUP(AD147,TD!$J$70:$K$93,2,0)," ")</f>
        <v>PM/0131/0108/45990160207</v>
      </c>
      <c r="AG147" s="114" t="s">
        <v>385</v>
      </c>
      <c r="AH147" s="166" t="s">
        <v>193</v>
      </c>
      <c r="AI147" s="169" t="str">
        <f>CONCATENATE(PAA[[#This Row],[Id Interno]],"-",PAA[[#This Row],[tipo de Contrato (TH talento humano - B/S bienes y/o servicios)]],"-",S147,"-",T147,"-",PAA[[#This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48" spans="2:35" ht="98" x14ac:dyDescent="0.35">
      <c r="B148" s="23">
        <v>20260103</v>
      </c>
      <c r="C148" s="97" t="s">
        <v>410</v>
      </c>
      <c r="D148" s="23" t="s">
        <v>105</v>
      </c>
      <c r="E148" s="23" t="s">
        <v>363</v>
      </c>
      <c r="F148" s="163" t="s">
        <v>144</v>
      </c>
      <c r="G148" s="164" t="s">
        <v>374</v>
      </c>
      <c r="H148" s="165">
        <v>8</v>
      </c>
      <c r="I148" s="165">
        <v>0</v>
      </c>
      <c r="J148" s="122">
        <v>53600000</v>
      </c>
      <c r="K148" s="88" t="s">
        <v>398</v>
      </c>
      <c r="L148" s="163" t="s">
        <v>153</v>
      </c>
      <c r="M148" s="166" t="s">
        <v>420</v>
      </c>
      <c r="N148" s="23" t="s">
        <v>197</v>
      </c>
      <c r="O148" s="144" t="s">
        <v>886</v>
      </c>
      <c r="P148" s="163" t="s">
        <v>348</v>
      </c>
      <c r="Q148" s="53">
        <v>80111600</v>
      </c>
      <c r="R148" s="166" t="s">
        <v>208</v>
      </c>
      <c r="S148" s="166" t="str">
        <f>MID(PAA[[#This Row],[Meta Proyecto de Inversión]],1,4)</f>
        <v>8126</v>
      </c>
      <c r="T148" s="166" t="str">
        <f>MID(PAA[[#This Row],[Meta Proyecto de Inversión]],6,2)</f>
        <v>9-</v>
      </c>
      <c r="U148" s="167" t="str">
        <f>IFERROR(VLOOKUP(N148,TD!$B$54:$F$58,2,0)," ")</f>
        <v>O230117</v>
      </c>
      <c r="V148" s="167" t="str">
        <f>IFERROR(VLOOKUP(N148,TD!$B$54:$F$58,3,0)," ")</f>
        <v>4599</v>
      </c>
      <c r="W148" s="167">
        <f>IFERROR(VLOOKUP(N148,TD!$B$54:$F$58,4,0)," ")</f>
        <v>20240207</v>
      </c>
      <c r="X148" s="166" t="s">
        <v>174</v>
      </c>
      <c r="Y148" s="167" t="str">
        <f>IFERROR(VLOOKUP(X148,TD!$J$55:$K$68,2,0)," ")</f>
        <v>Infraestructura física, mantenimiento y dotación (Sedes construidas, mantenidas reforzadas)</v>
      </c>
      <c r="Z148" s="168" t="str">
        <f>CONCATENATE(X148,"-",Y148)</f>
        <v>08-Infraestructura física, mantenimiento y dotación (Sedes construidas, mantenidas reforzadas)</v>
      </c>
      <c r="AA148" s="166" t="s">
        <v>227</v>
      </c>
      <c r="AB148" s="167" t="str">
        <f>IFERROR(VLOOKUP(AA148,TD!$N$55:$O$70,2,0)," ")</f>
        <v>Sedes mantenidas</v>
      </c>
      <c r="AC148" s="168" t="str">
        <f>CONCATENATE(AA148,"_",AB148)</f>
        <v>016_Sedes mantenidas</v>
      </c>
      <c r="AD148" s="168" t="str">
        <f>CONCATENATE(Z148," ",AC148)</f>
        <v>08-Infraestructura física, mantenimiento y dotación (Sedes construidas, mantenidas reforzadas) 016_Sedes mantenidas</v>
      </c>
      <c r="AE148" s="167" t="str">
        <f>CONCATENATE(U148,V148,W148,X148,AA148)</f>
        <v>O23011745992024020708016</v>
      </c>
      <c r="AF148" s="167" t="str">
        <f>IFERROR(VLOOKUP(AD148,TD!$J$70:$K$93,2,0)," ")</f>
        <v>PM/0131/0108/45990160207</v>
      </c>
      <c r="AG148" s="114" t="s">
        <v>385</v>
      </c>
      <c r="AH148" s="166" t="s">
        <v>193</v>
      </c>
      <c r="AI148" s="169" t="str">
        <f>CONCATENATE(PAA[[#This Row],[Id Interno]],"-",PAA[[#This Row],[tipo de Contrato (TH talento humano - B/S bienes y/o servicios)]],"-",S148,"-",T148,"-",PAA[[#This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49" spans="2:35" ht="84" x14ac:dyDescent="0.35">
      <c r="B149" s="23">
        <v>20260105</v>
      </c>
      <c r="C149" s="97" t="s">
        <v>410</v>
      </c>
      <c r="D149" s="23" t="s">
        <v>105</v>
      </c>
      <c r="E149" s="23" t="s">
        <v>363</v>
      </c>
      <c r="F149" s="163" t="s">
        <v>144</v>
      </c>
      <c r="G149" s="164" t="s">
        <v>374</v>
      </c>
      <c r="H149" s="165">
        <v>8</v>
      </c>
      <c r="I149" s="165">
        <v>0</v>
      </c>
      <c r="J149" s="122">
        <v>53600000</v>
      </c>
      <c r="K149" s="88" t="s">
        <v>398</v>
      </c>
      <c r="L149" s="163" t="s">
        <v>153</v>
      </c>
      <c r="M149" s="166" t="s">
        <v>420</v>
      </c>
      <c r="N149" s="23" t="s">
        <v>197</v>
      </c>
      <c r="O149" s="144" t="s">
        <v>886</v>
      </c>
      <c r="P149" s="163" t="s">
        <v>348</v>
      </c>
      <c r="Q149" s="53">
        <v>80111600</v>
      </c>
      <c r="R149" s="166" t="s">
        <v>208</v>
      </c>
      <c r="S149" s="166" t="str">
        <f>MID(PAA[[#This Row],[Meta Proyecto de Inversión]],1,4)</f>
        <v>8126</v>
      </c>
      <c r="T149" s="166" t="str">
        <f>MID(PAA[[#This Row],[Meta Proyecto de Inversión]],6,2)</f>
        <v>9-</v>
      </c>
      <c r="U149" s="167" t="str">
        <f>IFERROR(VLOOKUP(N149,TD!$B$54:$F$58,2,0)," ")</f>
        <v>O230117</v>
      </c>
      <c r="V149" s="167" t="str">
        <f>IFERROR(VLOOKUP(N149,TD!$B$54:$F$58,3,0)," ")</f>
        <v>4599</v>
      </c>
      <c r="W149" s="167">
        <f>IFERROR(VLOOKUP(N149,TD!$B$54:$F$58,4,0)," ")</f>
        <v>20240207</v>
      </c>
      <c r="X149" s="166" t="s">
        <v>174</v>
      </c>
      <c r="Y149" s="167" t="str">
        <f>IFERROR(VLOOKUP(X149,TD!$J$55:$K$68,2,0)," ")</f>
        <v>Infraestructura física, mantenimiento y dotación (Sedes construidas, mantenidas reforzadas)</v>
      </c>
      <c r="Z149" s="168" t="str">
        <f>CONCATENATE(X149,"-",Y149)</f>
        <v>08-Infraestructura física, mantenimiento y dotación (Sedes construidas, mantenidas reforzadas)</v>
      </c>
      <c r="AA149" s="166" t="s">
        <v>227</v>
      </c>
      <c r="AB149" s="167" t="str">
        <f>IFERROR(VLOOKUP(AA149,TD!$N$55:$O$70,2,0)," ")</f>
        <v>Sedes mantenidas</v>
      </c>
      <c r="AC149" s="168" t="str">
        <f>CONCATENATE(AA149,"_",AB149)</f>
        <v>016_Sedes mantenidas</v>
      </c>
      <c r="AD149" s="168" t="str">
        <f>CONCATENATE(Z149," ",AC149)</f>
        <v>08-Infraestructura física, mantenimiento y dotación (Sedes construidas, mantenidas reforzadas) 016_Sedes mantenidas</v>
      </c>
      <c r="AE149" s="167" t="str">
        <f>CONCATENATE(U149,V149,W149,X149,AA149)</f>
        <v>O23011745992024020708016</v>
      </c>
      <c r="AF149" s="167" t="str">
        <f>IFERROR(VLOOKUP(AD149,TD!$J$70:$K$93,2,0)," ")</f>
        <v>PM/0131/0108/45990160207</v>
      </c>
      <c r="AG149" s="114" t="s">
        <v>385</v>
      </c>
      <c r="AH149" s="166" t="s">
        <v>193</v>
      </c>
      <c r="AI149" s="169" t="str">
        <f>CONCATENATE(PAA[[#This Row],[Id Interno]],"-",PAA[[#This Row],[tipo de Contrato (TH talento humano - B/S bienes y/o servicios)]],"-",S149,"-",T149,"-",PAA[[#This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50" spans="2:35" ht="56" x14ac:dyDescent="0.35">
      <c r="B150" s="23">
        <v>20260106</v>
      </c>
      <c r="C150" s="97" t="s">
        <v>404</v>
      </c>
      <c r="D150" s="23" t="s">
        <v>105</v>
      </c>
      <c r="E150" s="23" t="s">
        <v>363</v>
      </c>
      <c r="F150" s="163" t="s">
        <v>144</v>
      </c>
      <c r="G150" s="164" t="s">
        <v>374</v>
      </c>
      <c r="H150" s="165">
        <v>9</v>
      </c>
      <c r="I150" s="165">
        <v>0</v>
      </c>
      <c r="J150" s="122">
        <v>94500000</v>
      </c>
      <c r="K150" s="88" t="s">
        <v>398</v>
      </c>
      <c r="L150" s="163" t="s">
        <v>153</v>
      </c>
      <c r="M150" s="166" t="s">
        <v>420</v>
      </c>
      <c r="N150" s="23" t="s">
        <v>197</v>
      </c>
      <c r="O150" s="144" t="s">
        <v>886</v>
      </c>
      <c r="P150" s="163" t="s">
        <v>348</v>
      </c>
      <c r="Q150" s="53">
        <v>80111600</v>
      </c>
      <c r="R150" s="166" t="s">
        <v>208</v>
      </c>
      <c r="S150" s="166" t="str">
        <f>MID(PAA[[#This Row],[Meta Proyecto de Inversión]],1,4)</f>
        <v>8126</v>
      </c>
      <c r="T150" s="166" t="str">
        <f>MID(PAA[[#This Row],[Meta Proyecto de Inversión]],6,2)</f>
        <v>9-</v>
      </c>
      <c r="U150" s="167" t="str">
        <f>IFERROR(VLOOKUP(N150,TD!$B$54:$F$58,2,0)," ")</f>
        <v>O230117</v>
      </c>
      <c r="V150" s="167" t="str">
        <f>IFERROR(VLOOKUP(N150,TD!$B$54:$F$58,3,0)," ")</f>
        <v>4599</v>
      </c>
      <c r="W150" s="167">
        <f>IFERROR(VLOOKUP(N150,TD!$B$54:$F$58,4,0)," ")</f>
        <v>20240207</v>
      </c>
      <c r="X150" s="166" t="s">
        <v>174</v>
      </c>
      <c r="Y150" s="167" t="str">
        <f>IFERROR(VLOOKUP(X150,TD!$J$55:$K$68,2,0)," ")</f>
        <v>Infraestructura física, mantenimiento y dotación (Sedes construidas, mantenidas reforzadas)</v>
      </c>
      <c r="Z150" s="168" t="str">
        <f>CONCATENATE(X150,"-",Y150)</f>
        <v>08-Infraestructura física, mantenimiento y dotación (Sedes construidas, mantenidas reforzadas)</v>
      </c>
      <c r="AA150" s="166" t="s">
        <v>227</v>
      </c>
      <c r="AB150" s="167" t="str">
        <f>IFERROR(VLOOKUP(AA150,TD!$N$55:$O$70,2,0)," ")</f>
        <v>Sedes mantenidas</v>
      </c>
      <c r="AC150" s="168" t="str">
        <f>CONCATENATE(AA150,"_",AB150)</f>
        <v>016_Sedes mantenidas</v>
      </c>
      <c r="AD150" s="168" t="str">
        <f>CONCATENATE(Z150," ",AC150)</f>
        <v>08-Infraestructura física, mantenimiento y dotación (Sedes construidas, mantenidas reforzadas) 016_Sedes mantenidas</v>
      </c>
      <c r="AE150" s="167" t="str">
        <f>CONCATENATE(U150,V150,W150,X150,AA150)</f>
        <v>O23011745992024020708016</v>
      </c>
      <c r="AF150" s="167" t="str">
        <f>IFERROR(VLOOKUP(AD150,TD!$J$70:$K$93,2,0)," ")</f>
        <v>PM/0131/0108/45990160207</v>
      </c>
      <c r="AG150" s="114" t="s">
        <v>385</v>
      </c>
      <c r="AH150" s="166" t="s">
        <v>193</v>
      </c>
      <c r="AI150" s="169" t="str">
        <f>CONCATENATE(PAA[[#This Row],[Id Interno]],"-",PAA[[#This Row],[tipo de Contrato (TH talento humano - B/S bienes y/o servicios)]],"-",S150,"-",T150,"-",PAA[[#This Row],[Objeto de la contratación]])</f>
        <v>20260106-TH-8126-9--Prestar los servicios profesionales jurídicos especializados en la Oficina Jurídica que garantice la verificación de la legalidad, en apoyo a cada una de las actuaciones a cargo de esta Oficina.</v>
      </c>
    </row>
    <row r="151" spans="2:35" ht="56" x14ac:dyDescent="0.35">
      <c r="B151" s="23">
        <v>20260107</v>
      </c>
      <c r="C151" s="97" t="s">
        <v>405</v>
      </c>
      <c r="D151" s="23" t="s">
        <v>105</v>
      </c>
      <c r="E151" s="23" t="s">
        <v>363</v>
      </c>
      <c r="F151" s="163" t="s">
        <v>144</v>
      </c>
      <c r="G151" s="164" t="s">
        <v>374</v>
      </c>
      <c r="H151" s="165">
        <v>8</v>
      </c>
      <c r="I151" s="165">
        <v>0</v>
      </c>
      <c r="J151" s="122">
        <v>77200000</v>
      </c>
      <c r="K151" s="88" t="s">
        <v>398</v>
      </c>
      <c r="L151" s="163" t="s">
        <v>153</v>
      </c>
      <c r="M151" s="166" t="s">
        <v>420</v>
      </c>
      <c r="N151" s="23" t="s">
        <v>197</v>
      </c>
      <c r="O151" s="144" t="s">
        <v>886</v>
      </c>
      <c r="P151" s="163" t="s">
        <v>348</v>
      </c>
      <c r="Q151" s="53">
        <v>80111600</v>
      </c>
      <c r="R151" s="166" t="s">
        <v>208</v>
      </c>
      <c r="S151" s="166" t="str">
        <f>MID(PAA[[#This Row],[Meta Proyecto de Inversión]],1,4)</f>
        <v>8126</v>
      </c>
      <c r="T151" s="166" t="str">
        <f>MID(PAA[[#This Row],[Meta Proyecto de Inversión]],6,2)</f>
        <v>9-</v>
      </c>
      <c r="U151" s="167" t="str">
        <f>IFERROR(VLOOKUP(N151,TD!$B$54:$F$58,2,0)," ")</f>
        <v>O230117</v>
      </c>
      <c r="V151" s="167" t="str">
        <f>IFERROR(VLOOKUP(N151,TD!$B$54:$F$58,3,0)," ")</f>
        <v>4599</v>
      </c>
      <c r="W151" s="167">
        <f>IFERROR(VLOOKUP(N151,TD!$B$54:$F$58,4,0)," ")</f>
        <v>20240207</v>
      </c>
      <c r="X151" s="166" t="s">
        <v>174</v>
      </c>
      <c r="Y151" s="167" t="str">
        <f>IFERROR(VLOOKUP(X151,TD!$J$55:$K$68,2,0)," ")</f>
        <v>Infraestructura física, mantenimiento y dotación (Sedes construidas, mantenidas reforzadas)</v>
      </c>
      <c r="Z151" s="168" t="str">
        <f>CONCATENATE(X151,"-",Y151)</f>
        <v>08-Infraestructura física, mantenimiento y dotación (Sedes construidas, mantenidas reforzadas)</v>
      </c>
      <c r="AA151" s="166" t="s">
        <v>227</v>
      </c>
      <c r="AB151" s="167" t="str">
        <f>IFERROR(VLOOKUP(AA151,TD!$N$55:$O$70,2,0)," ")</f>
        <v>Sedes mantenidas</v>
      </c>
      <c r="AC151" s="168" t="str">
        <f>CONCATENATE(AA151,"_",AB151)</f>
        <v>016_Sedes mantenidas</v>
      </c>
      <c r="AD151" s="168" t="str">
        <f>CONCATENATE(Z151," ",AC151)</f>
        <v>08-Infraestructura física, mantenimiento y dotación (Sedes construidas, mantenidas reforzadas) 016_Sedes mantenidas</v>
      </c>
      <c r="AE151" s="167" t="str">
        <f>CONCATENATE(U151,V151,W151,X151,AA151)</f>
        <v>O23011745992024020708016</v>
      </c>
      <c r="AF151" s="167" t="str">
        <f>IFERROR(VLOOKUP(AD151,TD!$J$70:$K$93,2,0)," ")</f>
        <v>PM/0131/0108/45990160207</v>
      </c>
      <c r="AG151" s="114" t="s">
        <v>385</v>
      </c>
      <c r="AH151" s="166" t="s">
        <v>193</v>
      </c>
      <c r="AI151" s="169" t="str">
        <f>CONCATENATE(PAA[[#This Row],[Id Interno]],"-",PAA[[#This Row],[tipo de Contrato (TH talento humano - B/S bienes y/o servicios)]],"-",S151,"-",T151,"-",PAA[[#This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52" spans="2:35" ht="56" x14ac:dyDescent="0.35">
      <c r="B152" s="23">
        <v>20260108</v>
      </c>
      <c r="C152" s="97" t="s">
        <v>406</v>
      </c>
      <c r="D152" s="23" t="s">
        <v>105</v>
      </c>
      <c r="E152" s="23" t="s">
        <v>363</v>
      </c>
      <c r="F152" s="163" t="s">
        <v>144</v>
      </c>
      <c r="G152" s="164" t="s">
        <v>374</v>
      </c>
      <c r="H152" s="165">
        <v>8</v>
      </c>
      <c r="I152" s="165">
        <v>0</v>
      </c>
      <c r="J152" s="122">
        <v>51984000</v>
      </c>
      <c r="K152" s="88" t="s">
        <v>398</v>
      </c>
      <c r="L152" s="163" t="s">
        <v>153</v>
      </c>
      <c r="M152" s="166" t="s">
        <v>420</v>
      </c>
      <c r="N152" s="23" t="s">
        <v>197</v>
      </c>
      <c r="O152" s="144" t="s">
        <v>886</v>
      </c>
      <c r="P152" s="163" t="s">
        <v>348</v>
      </c>
      <c r="Q152" s="53">
        <v>80111600</v>
      </c>
      <c r="R152" s="166" t="s">
        <v>208</v>
      </c>
      <c r="S152" s="166" t="str">
        <f>MID(PAA[[#This Row],[Meta Proyecto de Inversión]],1,4)</f>
        <v>8126</v>
      </c>
      <c r="T152" s="166" t="str">
        <f>MID(PAA[[#This Row],[Meta Proyecto de Inversión]],6,2)</f>
        <v>9-</v>
      </c>
      <c r="U152" s="167" t="str">
        <f>IFERROR(VLOOKUP(N152,TD!$B$54:$F$58,2,0)," ")</f>
        <v>O230117</v>
      </c>
      <c r="V152" s="167" t="str">
        <f>IFERROR(VLOOKUP(N152,TD!$B$54:$F$58,3,0)," ")</f>
        <v>4599</v>
      </c>
      <c r="W152" s="167">
        <f>IFERROR(VLOOKUP(N152,TD!$B$54:$F$58,4,0)," ")</f>
        <v>20240207</v>
      </c>
      <c r="X152" s="166" t="s">
        <v>174</v>
      </c>
      <c r="Y152" s="167" t="str">
        <f>IFERROR(VLOOKUP(X152,TD!$J$55:$K$68,2,0)," ")</f>
        <v>Infraestructura física, mantenimiento y dotación (Sedes construidas, mantenidas reforzadas)</v>
      </c>
      <c r="Z152" s="168" t="str">
        <f>CONCATENATE(X152,"-",Y152)</f>
        <v>08-Infraestructura física, mantenimiento y dotación (Sedes construidas, mantenidas reforzadas)</v>
      </c>
      <c r="AA152" s="166" t="s">
        <v>227</v>
      </c>
      <c r="AB152" s="167" t="str">
        <f>IFERROR(VLOOKUP(AA152,TD!$N$55:$O$70,2,0)," ")</f>
        <v>Sedes mantenidas</v>
      </c>
      <c r="AC152" s="168" t="str">
        <f>CONCATENATE(AA152,"_",AB152)</f>
        <v>016_Sedes mantenidas</v>
      </c>
      <c r="AD152" s="168" t="str">
        <f>CONCATENATE(Z152," ",AC152)</f>
        <v>08-Infraestructura física, mantenimiento y dotación (Sedes construidas, mantenidas reforzadas) 016_Sedes mantenidas</v>
      </c>
      <c r="AE152" s="167" t="str">
        <f>CONCATENATE(U152,V152,W152,X152,AA152)</f>
        <v>O23011745992024020708016</v>
      </c>
      <c r="AF152" s="167" t="str">
        <f>IFERROR(VLOOKUP(AD152,TD!$J$70:$K$93,2,0)," ")</f>
        <v>PM/0131/0108/45990160207</v>
      </c>
      <c r="AG152" s="114" t="s">
        <v>385</v>
      </c>
      <c r="AH152" s="166" t="s">
        <v>193</v>
      </c>
      <c r="AI152" s="169" t="str">
        <f>CONCATENATE(PAA[[#This Row],[Id Interno]],"-",PAA[[#This Row],[tipo de Contrato (TH talento humano - B/S bienes y/o servicios)]],"-",S152,"-",T152,"-",PAA[[#This Row],[Objeto de la contratación]])</f>
        <v>20260108-TH-8126-9--Prestar servicios profesionales para apoyar en la estructuración de las acciones de mejora, elaboración de informes y soporte de las funciones administrativas y de mejora</v>
      </c>
    </row>
    <row r="153" spans="2:35" ht="56" x14ac:dyDescent="0.35">
      <c r="B153" s="23">
        <v>20260109</v>
      </c>
      <c r="C153" s="97" t="s">
        <v>407</v>
      </c>
      <c r="D153" s="23" t="s">
        <v>105</v>
      </c>
      <c r="E153" s="23" t="s">
        <v>363</v>
      </c>
      <c r="F153" s="163" t="s">
        <v>144</v>
      </c>
      <c r="G153" s="164" t="s">
        <v>379</v>
      </c>
      <c r="H153" s="165">
        <v>3</v>
      </c>
      <c r="I153" s="165">
        <v>0</v>
      </c>
      <c r="J153" s="122">
        <v>33000000</v>
      </c>
      <c r="K153" s="88" t="s">
        <v>398</v>
      </c>
      <c r="L153" s="163" t="s">
        <v>153</v>
      </c>
      <c r="M153" s="166" t="s">
        <v>420</v>
      </c>
      <c r="N153" s="23" t="s">
        <v>197</v>
      </c>
      <c r="O153" s="144" t="s">
        <v>886</v>
      </c>
      <c r="P153" s="163" t="s">
        <v>348</v>
      </c>
      <c r="Q153" s="53">
        <v>80111600</v>
      </c>
      <c r="R153" s="166" t="s">
        <v>208</v>
      </c>
      <c r="S153" s="166" t="str">
        <f>MID(PAA[[#This Row],[Meta Proyecto de Inversión]],1,4)</f>
        <v>8126</v>
      </c>
      <c r="T153" s="166" t="str">
        <f>MID(PAA[[#This Row],[Meta Proyecto de Inversión]],6,2)</f>
        <v>9-</v>
      </c>
      <c r="U153" s="167" t="str">
        <f>IFERROR(VLOOKUP(N153,TD!$B$54:$F$58,2,0)," ")</f>
        <v>O230117</v>
      </c>
      <c r="V153" s="167" t="str">
        <f>IFERROR(VLOOKUP(N153,TD!$B$54:$F$58,3,0)," ")</f>
        <v>4599</v>
      </c>
      <c r="W153" s="167">
        <f>IFERROR(VLOOKUP(N153,TD!$B$54:$F$58,4,0)," ")</f>
        <v>20240207</v>
      </c>
      <c r="X153" s="166" t="s">
        <v>174</v>
      </c>
      <c r="Y153" s="167" t="str">
        <f>IFERROR(VLOOKUP(X153,TD!$J$55:$K$68,2,0)," ")</f>
        <v>Infraestructura física, mantenimiento y dotación (Sedes construidas, mantenidas reforzadas)</v>
      </c>
      <c r="Z153" s="168" t="str">
        <f>CONCATENATE(X153,"-",Y153)</f>
        <v>08-Infraestructura física, mantenimiento y dotación (Sedes construidas, mantenidas reforzadas)</v>
      </c>
      <c r="AA153" s="166" t="s">
        <v>227</v>
      </c>
      <c r="AB153" s="167" t="str">
        <f>IFERROR(VLOOKUP(AA153,TD!$N$55:$O$70,2,0)," ")</f>
        <v>Sedes mantenidas</v>
      </c>
      <c r="AC153" s="168" t="str">
        <f>CONCATENATE(AA153,"_",AB153)</f>
        <v>016_Sedes mantenidas</v>
      </c>
      <c r="AD153" s="168" t="str">
        <f>CONCATENATE(Z153," ",AC153)</f>
        <v>08-Infraestructura física, mantenimiento y dotación (Sedes construidas, mantenidas reforzadas) 016_Sedes mantenidas</v>
      </c>
      <c r="AE153" s="167" t="str">
        <f>CONCATENATE(U153,V153,W153,X153,AA153)</f>
        <v>O23011745992024020708016</v>
      </c>
      <c r="AF153" s="167" t="str">
        <f>IFERROR(VLOOKUP(AD153,TD!$J$70:$K$93,2,0)," ")</f>
        <v>PM/0131/0108/45990160207</v>
      </c>
      <c r="AG153" s="114" t="s">
        <v>385</v>
      </c>
      <c r="AH153" s="166" t="s">
        <v>193</v>
      </c>
      <c r="AI153" s="169" t="str">
        <f>CONCATENATE(PAA[[#This Row],[Id Interno]],"-",PAA[[#This Row],[tipo de Contrato (TH talento humano - B/S bienes y/o servicios)]],"-",S153,"-",T153,"-",PAA[[#This Row],[Objeto de la contratación]])</f>
        <v>20260109-TH-8126-9--Prestar los servicios profesionales jurídicos especializados para apoyar el desarrollo de las funciones de la Oficina Jurídica</v>
      </c>
    </row>
    <row r="154" spans="2:35" ht="42" x14ac:dyDescent="0.35">
      <c r="B154" s="23">
        <v>20260110</v>
      </c>
      <c r="C154" s="97" t="s">
        <v>408</v>
      </c>
      <c r="D154" s="23" t="s">
        <v>105</v>
      </c>
      <c r="E154" s="23" t="s">
        <v>363</v>
      </c>
      <c r="F154" s="163" t="s">
        <v>144</v>
      </c>
      <c r="G154" s="164" t="s">
        <v>374</v>
      </c>
      <c r="H154" s="165">
        <v>9</v>
      </c>
      <c r="I154" s="165">
        <v>0</v>
      </c>
      <c r="J154" s="122">
        <v>76500000</v>
      </c>
      <c r="K154" s="88" t="s">
        <v>398</v>
      </c>
      <c r="L154" s="163" t="s">
        <v>153</v>
      </c>
      <c r="M154" s="166" t="s">
        <v>420</v>
      </c>
      <c r="N154" s="23" t="s">
        <v>197</v>
      </c>
      <c r="O154" s="144" t="s">
        <v>886</v>
      </c>
      <c r="P154" s="163" t="s">
        <v>348</v>
      </c>
      <c r="Q154" s="53">
        <v>80111600</v>
      </c>
      <c r="R154" s="166" t="s">
        <v>208</v>
      </c>
      <c r="S154" s="166" t="str">
        <f>MID(PAA[[#This Row],[Meta Proyecto de Inversión]],1,4)</f>
        <v>8126</v>
      </c>
      <c r="T154" s="166" t="str">
        <f>MID(PAA[[#This Row],[Meta Proyecto de Inversión]],6,2)</f>
        <v>9-</v>
      </c>
      <c r="U154" s="167" t="str">
        <f>IFERROR(VLOOKUP(N154,TD!$B$54:$F$58,2,0)," ")</f>
        <v>O230117</v>
      </c>
      <c r="V154" s="167" t="str">
        <f>IFERROR(VLOOKUP(N154,TD!$B$54:$F$58,3,0)," ")</f>
        <v>4599</v>
      </c>
      <c r="W154" s="167">
        <f>IFERROR(VLOOKUP(N154,TD!$B$54:$F$58,4,0)," ")</f>
        <v>20240207</v>
      </c>
      <c r="X154" s="166" t="s">
        <v>174</v>
      </c>
      <c r="Y154" s="167" t="str">
        <f>IFERROR(VLOOKUP(X154,TD!$J$55:$K$68,2,0)," ")</f>
        <v>Infraestructura física, mantenimiento y dotación (Sedes construidas, mantenidas reforzadas)</v>
      </c>
      <c r="Z154" s="168" t="str">
        <f>CONCATENATE(X154,"-",Y154)</f>
        <v>08-Infraestructura física, mantenimiento y dotación (Sedes construidas, mantenidas reforzadas)</v>
      </c>
      <c r="AA154" s="166" t="s">
        <v>227</v>
      </c>
      <c r="AB154" s="167" t="str">
        <f>IFERROR(VLOOKUP(AA154,TD!$N$55:$O$70,2,0)," ")</f>
        <v>Sedes mantenidas</v>
      </c>
      <c r="AC154" s="168" t="str">
        <f>CONCATENATE(AA154,"_",AB154)</f>
        <v>016_Sedes mantenidas</v>
      </c>
      <c r="AD154" s="168" t="str">
        <f>CONCATENATE(Z154," ",AC154)</f>
        <v>08-Infraestructura física, mantenimiento y dotación (Sedes construidas, mantenidas reforzadas) 016_Sedes mantenidas</v>
      </c>
      <c r="AE154" s="167" t="str">
        <f>CONCATENATE(U154,V154,W154,X154,AA154)</f>
        <v>O23011745992024020708016</v>
      </c>
      <c r="AF154" s="167" t="str">
        <f>IFERROR(VLOOKUP(AD154,TD!$J$70:$K$93,2,0)," ")</f>
        <v>PM/0131/0108/45990160207</v>
      </c>
      <c r="AG154" s="114" t="s">
        <v>385</v>
      </c>
      <c r="AH154" s="166" t="s">
        <v>193</v>
      </c>
      <c r="AI154" s="169" t="str">
        <f>CONCATENATE(PAA[[#This Row],[Id Interno]],"-",PAA[[#This Row],[tipo de Contrato (TH talento humano - B/S bienes y/o servicios)]],"-",S154,"-",T154,"-",PAA[[#This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55" spans="2:35" ht="42" x14ac:dyDescent="0.35">
      <c r="B155" s="23">
        <v>20260111</v>
      </c>
      <c r="C155" s="97" t="s">
        <v>408</v>
      </c>
      <c r="D155" s="23" t="s">
        <v>105</v>
      </c>
      <c r="E155" s="23" t="s">
        <v>363</v>
      </c>
      <c r="F155" s="163" t="s">
        <v>144</v>
      </c>
      <c r="G155" s="164" t="s">
        <v>374</v>
      </c>
      <c r="H155" s="165">
        <v>9</v>
      </c>
      <c r="I155" s="165">
        <v>0</v>
      </c>
      <c r="J155" s="122">
        <v>76500000</v>
      </c>
      <c r="K155" s="88" t="s">
        <v>398</v>
      </c>
      <c r="L155" s="163" t="s">
        <v>153</v>
      </c>
      <c r="M155" s="166" t="s">
        <v>420</v>
      </c>
      <c r="N155" s="23" t="s">
        <v>197</v>
      </c>
      <c r="O155" s="144" t="s">
        <v>886</v>
      </c>
      <c r="P155" s="163" t="s">
        <v>348</v>
      </c>
      <c r="Q155" s="53">
        <v>80111600</v>
      </c>
      <c r="R155" s="166" t="s">
        <v>208</v>
      </c>
      <c r="S155" s="166" t="str">
        <f>MID(PAA[[#This Row],[Meta Proyecto de Inversión]],1,4)</f>
        <v>8126</v>
      </c>
      <c r="T155" s="166" t="str">
        <f>MID(PAA[[#This Row],[Meta Proyecto de Inversión]],6,2)</f>
        <v>9-</v>
      </c>
      <c r="U155" s="167" t="str">
        <f>IFERROR(VLOOKUP(N155,TD!$B$54:$F$58,2,0)," ")</f>
        <v>O230117</v>
      </c>
      <c r="V155" s="167" t="str">
        <f>IFERROR(VLOOKUP(N155,TD!$B$54:$F$58,3,0)," ")</f>
        <v>4599</v>
      </c>
      <c r="W155" s="167">
        <f>IFERROR(VLOOKUP(N155,TD!$B$54:$F$58,4,0)," ")</f>
        <v>20240207</v>
      </c>
      <c r="X155" s="166" t="s">
        <v>174</v>
      </c>
      <c r="Y155" s="167" t="str">
        <f>IFERROR(VLOOKUP(X155,TD!$J$55:$K$68,2,0)," ")</f>
        <v>Infraestructura física, mantenimiento y dotación (Sedes construidas, mantenidas reforzadas)</v>
      </c>
      <c r="Z155" s="168" t="str">
        <f>CONCATENATE(X155,"-",Y155)</f>
        <v>08-Infraestructura física, mantenimiento y dotación (Sedes construidas, mantenidas reforzadas)</v>
      </c>
      <c r="AA155" s="166" t="s">
        <v>227</v>
      </c>
      <c r="AB155" s="167" t="str">
        <f>IFERROR(VLOOKUP(AA155,TD!$N$55:$O$70,2,0)," ")</f>
        <v>Sedes mantenidas</v>
      </c>
      <c r="AC155" s="168" t="str">
        <f>CONCATENATE(AA155,"_",AB155)</f>
        <v>016_Sedes mantenidas</v>
      </c>
      <c r="AD155" s="168" t="str">
        <f>CONCATENATE(Z155," ",AC155)</f>
        <v>08-Infraestructura física, mantenimiento y dotación (Sedes construidas, mantenidas reforzadas) 016_Sedes mantenidas</v>
      </c>
      <c r="AE155" s="167" t="str">
        <f>CONCATENATE(U155,V155,W155,X155,AA155)</f>
        <v>O23011745992024020708016</v>
      </c>
      <c r="AF155" s="167" t="str">
        <f>IFERROR(VLOOKUP(AD155,TD!$J$70:$K$93,2,0)," ")</f>
        <v>PM/0131/0108/45990160207</v>
      </c>
      <c r="AG155" s="114" t="s">
        <v>385</v>
      </c>
      <c r="AH155" s="166" t="s">
        <v>193</v>
      </c>
      <c r="AI155" s="169" t="str">
        <f>CONCATENATE(PAA[[#This Row],[Id Interno]],"-",PAA[[#This Row],[tipo de Contrato (TH talento humano - B/S bienes y/o servicios)]],"-",S155,"-",T155,"-",PAA[[#This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56" spans="2:35" ht="84" x14ac:dyDescent="0.35">
      <c r="B156" s="23">
        <v>20260112</v>
      </c>
      <c r="C156" s="97" t="s">
        <v>409</v>
      </c>
      <c r="D156" s="23" t="s">
        <v>105</v>
      </c>
      <c r="E156" s="23" t="s">
        <v>363</v>
      </c>
      <c r="F156" s="163" t="s">
        <v>144</v>
      </c>
      <c r="G156" s="164" t="s">
        <v>374</v>
      </c>
      <c r="H156" s="165">
        <v>9</v>
      </c>
      <c r="I156" s="165">
        <v>0</v>
      </c>
      <c r="J156" s="122">
        <v>76500000</v>
      </c>
      <c r="K156" s="88" t="s">
        <v>398</v>
      </c>
      <c r="L156" s="163" t="s">
        <v>153</v>
      </c>
      <c r="M156" s="166" t="s">
        <v>420</v>
      </c>
      <c r="N156" s="23" t="s">
        <v>197</v>
      </c>
      <c r="O156" s="144" t="s">
        <v>886</v>
      </c>
      <c r="P156" s="163" t="s">
        <v>348</v>
      </c>
      <c r="Q156" s="53">
        <v>80111600</v>
      </c>
      <c r="R156" s="166" t="s">
        <v>208</v>
      </c>
      <c r="S156" s="166" t="str">
        <f>MID(PAA[[#This Row],[Meta Proyecto de Inversión]],1,4)</f>
        <v>8126</v>
      </c>
      <c r="T156" s="166" t="str">
        <f>MID(PAA[[#This Row],[Meta Proyecto de Inversión]],6,2)</f>
        <v>9-</v>
      </c>
      <c r="U156" s="167" t="str">
        <f>IFERROR(VLOOKUP(N156,TD!$B$54:$F$58,2,0)," ")</f>
        <v>O230117</v>
      </c>
      <c r="V156" s="167" t="str">
        <f>IFERROR(VLOOKUP(N156,TD!$B$54:$F$58,3,0)," ")</f>
        <v>4599</v>
      </c>
      <c r="W156" s="167">
        <f>IFERROR(VLOOKUP(N156,TD!$B$54:$F$58,4,0)," ")</f>
        <v>20240207</v>
      </c>
      <c r="X156" s="166" t="s">
        <v>174</v>
      </c>
      <c r="Y156" s="167" t="str">
        <f>IFERROR(VLOOKUP(X156,TD!$J$55:$K$68,2,0)," ")</f>
        <v>Infraestructura física, mantenimiento y dotación (Sedes construidas, mantenidas reforzadas)</v>
      </c>
      <c r="Z156" s="168" t="str">
        <f>CONCATENATE(X156,"-",Y156)</f>
        <v>08-Infraestructura física, mantenimiento y dotación (Sedes construidas, mantenidas reforzadas)</v>
      </c>
      <c r="AA156" s="166" t="s">
        <v>227</v>
      </c>
      <c r="AB156" s="167" t="str">
        <f>IFERROR(VLOOKUP(AA156,TD!$N$55:$O$70,2,0)," ")</f>
        <v>Sedes mantenidas</v>
      </c>
      <c r="AC156" s="168" t="str">
        <f>CONCATENATE(AA156,"_",AB156)</f>
        <v>016_Sedes mantenidas</v>
      </c>
      <c r="AD156" s="168" t="str">
        <f>CONCATENATE(Z156," ",AC156)</f>
        <v>08-Infraestructura física, mantenimiento y dotación (Sedes construidas, mantenidas reforzadas) 016_Sedes mantenidas</v>
      </c>
      <c r="AE156" s="167" t="str">
        <f>CONCATENATE(U156,V156,W156,X156,AA156)</f>
        <v>O23011745992024020708016</v>
      </c>
      <c r="AF156" s="167" t="str">
        <f>IFERROR(VLOOKUP(AD156,TD!$J$70:$K$93,2,0)," ")</f>
        <v>PM/0131/0108/45990160207</v>
      </c>
      <c r="AG156" s="114" t="s">
        <v>385</v>
      </c>
      <c r="AH156" s="166" t="s">
        <v>193</v>
      </c>
      <c r="AI156" s="169" t="str">
        <f>CONCATENATE(PAA[[#This Row],[Id Interno]],"-",PAA[[#This Row],[tipo de Contrato (TH talento humano - B/S bienes y/o servicios)]],"-",S156,"-",T156,"-",PAA[[#This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57" spans="2:35" ht="84" x14ac:dyDescent="0.35">
      <c r="B157" s="23">
        <v>20260113</v>
      </c>
      <c r="C157" s="97" t="s">
        <v>408</v>
      </c>
      <c r="D157" s="23" t="s">
        <v>105</v>
      </c>
      <c r="E157" s="23" t="s">
        <v>363</v>
      </c>
      <c r="F157" s="163" t="s">
        <v>144</v>
      </c>
      <c r="G157" s="164" t="s">
        <v>374</v>
      </c>
      <c r="H157" s="165">
        <v>9</v>
      </c>
      <c r="I157" s="165">
        <v>0</v>
      </c>
      <c r="J157" s="122">
        <v>76500000</v>
      </c>
      <c r="K157" s="88" t="s">
        <v>398</v>
      </c>
      <c r="L157" s="163" t="s">
        <v>153</v>
      </c>
      <c r="M157" s="166" t="s">
        <v>420</v>
      </c>
      <c r="N157" s="23" t="s">
        <v>197</v>
      </c>
      <c r="O157" s="144" t="s">
        <v>886</v>
      </c>
      <c r="P157" s="163" t="s">
        <v>348</v>
      </c>
      <c r="Q157" s="53">
        <v>80111600</v>
      </c>
      <c r="R157" s="166" t="s">
        <v>208</v>
      </c>
      <c r="S157" s="166" t="str">
        <f>MID(PAA[[#This Row],[Meta Proyecto de Inversión]],1,4)</f>
        <v>8126</v>
      </c>
      <c r="T157" s="166" t="str">
        <f>MID(PAA[[#This Row],[Meta Proyecto de Inversión]],6,2)</f>
        <v>9-</v>
      </c>
      <c r="U157" s="167" t="str">
        <f>IFERROR(VLOOKUP(N157,TD!$B$54:$F$58,2,0)," ")</f>
        <v>O230117</v>
      </c>
      <c r="V157" s="167" t="str">
        <f>IFERROR(VLOOKUP(N157,TD!$B$54:$F$58,3,0)," ")</f>
        <v>4599</v>
      </c>
      <c r="W157" s="167">
        <f>IFERROR(VLOOKUP(N157,TD!$B$54:$F$58,4,0)," ")</f>
        <v>20240207</v>
      </c>
      <c r="X157" s="166" t="s">
        <v>174</v>
      </c>
      <c r="Y157" s="167" t="str">
        <f>IFERROR(VLOOKUP(X157,TD!$J$55:$K$68,2,0)," ")</f>
        <v>Infraestructura física, mantenimiento y dotación (Sedes construidas, mantenidas reforzadas)</v>
      </c>
      <c r="Z157" s="168" t="str">
        <f>CONCATENATE(X157,"-",Y157)</f>
        <v>08-Infraestructura física, mantenimiento y dotación (Sedes construidas, mantenidas reforzadas)</v>
      </c>
      <c r="AA157" s="166" t="s">
        <v>227</v>
      </c>
      <c r="AB157" s="167" t="str">
        <f>IFERROR(VLOOKUP(AA157,TD!$N$55:$O$70,2,0)," ")</f>
        <v>Sedes mantenidas</v>
      </c>
      <c r="AC157" s="168" t="str">
        <f>CONCATENATE(AA157,"_",AB157)</f>
        <v>016_Sedes mantenidas</v>
      </c>
      <c r="AD157" s="168" t="str">
        <f>CONCATENATE(Z157," ",AC157)</f>
        <v>08-Infraestructura física, mantenimiento y dotación (Sedes construidas, mantenidas reforzadas) 016_Sedes mantenidas</v>
      </c>
      <c r="AE157" s="167" t="str">
        <f>CONCATENATE(U157,V157,W157,X157,AA157)</f>
        <v>O23011745992024020708016</v>
      </c>
      <c r="AF157" s="167" t="str">
        <f>IFERROR(VLOOKUP(AD157,TD!$J$70:$K$93,2,0)," ")</f>
        <v>PM/0131/0108/45990160207</v>
      </c>
      <c r="AG157" s="114" t="s">
        <v>385</v>
      </c>
      <c r="AH157" s="166" t="s">
        <v>193</v>
      </c>
      <c r="AI157" s="169" t="str">
        <f>CONCATENATE(PAA[[#This Row],[Id Interno]],"-",PAA[[#This Row],[tipo de Contrato (TH talento humano - B/S bienes y/o servicios)]],"-",S157,"-",T157,"-",PAA[[#This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58" spans="2:35" ht="70" x14ac:dyDescent="0.35">
      <c r="B158" s="23">
        <v>20260114</v>
      </c>
      <c r="C158" s="97" t="s">
        <v>408</v>
      </c>
      <c r="D158" s="23" t="s">
        <v>105</v>
      </c>
      <c r="E158" s="23" t="s">
        <v>363</v>
      </c>
      <c r="F158" s="163" t="s">
        <v>144</v>
      </c>
      <c r="G158" s="164" t="s">
        <v>374</v>
      </c>
      <c r="H158" s="165">
        <v>9</v>
      </c>
      <c r="I158" s="165">
        <v>0</v>
      </c>
      <c r="J158" s="122">
        <v>72000000</v>
      </c>
      <c r="K158" s="88" t="s">
        <v>398</v>
      </c>
      <c r="L158" s="163" t="s">
        <v>153</v>
      </c>
      <c r="M158" s="166" t="s">
        <v>420</v>
      </c>
      <c r="N158" s="23" t="s">
        <v>197</v>
      </c>
      <c r="O158" s="144" t="s">
        <v>886</v>
      </c>
      <c r="P158" s="163" t="s">
        <v>348</v>
      </c>
      <c r="Q158" s="53">
        <v>80111600</v>
      </c>
      <c r="R158" s="166" t="s">
        <v>208</v>
      </c>
      <c r="S158" s="166" t="str">
        <f>MID(PAA[[#This Row],[Meta Proyecto de Inversión]],1,4)</f>
        <v>8126</v>
      </c>
      <c r="T158" s="166" t="str">
        <f>MID(PAA[[#This Row],[Meta Proyecto de Inversión]],6,2)</f>
        <v>9-</v>
      </c>
      <c r="U158" s="167" t="str">
        <f>IFERROR(VLOOKUP(N158,TD!$B$54:$F$58,2,0)," ")</f>
        <v>O230117</v>
      </c>
      <c r="V158" s="167" t="str">
        <f>IFERROR(VLOOKUP(N158,TD!$B$54:$F$58,3,0)," ")</f>
        <v>4599</v>
      </c>
      <c r="W158" s="167">
        <f>IFERROR(VLOOKUP(N158,TD!$B$54:$F$58,4,0)," ")</f>
        <v>20240207</v>
      </c>
      <c r="X158" s="166" t="s">
        <v>174</v>
      </c>
      <c r="Y158" s="167" t="str">
        <f>IFERROR(VLOOKUP(X158,TD!$J$55:$K$68,2,0)," ")</f>
        <v>Infraestructura física, mantenimiento y dotación (Sedes construidas, mantenidas reforzadas)</v>
      </c>
      <c r="Z158" s="168" t="str">
        <f>CONCATENATE(X158,"-",Y158)</f>
        <v>08-Infraestructura física, mantenimiento y dotación (Sedes construidas, mantenidas reforzadas)</v>
      </c>
      <c r="AA158" s="166" t="s">
        <v>227</v>
      </c>
      <c r="AB158" s="167" t="str">
        <f>IFERROR(VLOOKUP(AA158,TD!$N$55:$O$70,2,0)," ")</f>
        <v>Sedes mantenidas</v>
      </c>
      <c r="AC158" s="168" t="str">
        <f>CONCATENATE(AA158,"_",AB158)</f>
        <v>016_Sedes mantenidas</v>
      </c>
      <c r="AD158" s="168" t="str">
        <f>CONCATENATE(Z158," ",AC158)</f>
        <v>08-Infraestructura física, mantenimiento y dotación (Sedes construidas, mantenidas reforzadas) 016_Sedes mantenidas</v>
      </c>
      <c r="AE158" s="167" t="str">
        <f>CONCATENATE(U158,V158,W158,X158,AA158)</f>
        <v>O23011745992024020708016</v>
      </c>
      <c r="AF158" s="167" t="str">
        <f>IFERROR(VLOOKUP(AD158,TD!$J$70:$K$93,2,0)," ")</f>
        <v>PM/0131/0108/45990160207</v>
      </c>
      <c r="AG158" s="114" t="s">
        <v>385</v>
      </c>
      <c r="AH158" s="166" t="s">
        <v>193</v>
      </c>
      <c r="AI158" s="169" t="str">
        <f>CONCATENATE(PAA[[#This Row],[Id Interno]],"-",PAA[[#This Row],[tipo de Contrato (TH talento humano - B/S bienes y/o servicios)]],"-",S158,"-",T158,"-",PAA[[#This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59" spans="2:35" ht="84" x14ac:dyDescent="0.35">
      <c r="B159" s="23">
        <v>20260115</v>
      </c>
      <c r="C159" s="97" t="s">
        <v>410</v>
      </c>
      <c r="D159" s="23" t="s">
        <v>105</v>
      </c>
      <c r="E159" s="23" t="s">
        <v>363</v>
      </c>
      <c r="F159" s="163" t="s">
        <v>145</v>
      </c>
      <c r="G159" s="164" t="s">
        <v>374</v>
      </c>
      <c r="H159" s="165">
        <v>9</v>
      </c>
      <c r="I159" s="165">
        <v>0</v>
      </c>
      <c r="J159" s="122">
        <v>60300000</v>
      </c>
      <c r="K159" s="88" t="s">
        <v>398</v>
      </c>
      <c r="L159" s="163" t="s">
        <v>153</v>
      </c>
      <c r="M159" s="166" t="s">
        <v>420</v>
      </c>
      <c r="N159" s="23" t="s">
        <v>197</v>
      </c>
      <c r="O159" s="144" t="s">
        <v>886</v>
      </c>
      <c r="P159" s="163" t="s">
        <v>348</v>
      </c>
      <c r="Q159" s="53">
        <v>80111600</v>
      </c>
      <c r="R159" s="166" t="s">
        <v>208</v>
      </c>
      <c r="S159" s="166" t="str">
        <f>MID(PAA[[#This Row],[Meta Proyecto de Inversión]],1,4)</f>
        <v>8126</v>
      </c>
      <c r="T159" s="166" t="str">
        <f>MID(PAA[[#This Row],[Meta Proyecto de Inversión]],6,2)</f>
        <v>9-</v>
      </c>
      <c r="U159" s="167" t="str">
        <f>IFERROR(VLOOKUP(N159,TD!$B$54:$F$58,2,0)," ")</f>
        <v>O230117</v>
      </c>
      <c r="V159" s="167" t="str">
        <f>IFERROR(VLOOKUP(N159,TD!$B$54:$F$58,3,0)," ")</f>
        <v>4599</v>
      </c>
      <c r="W159" s="167">
        <f>IFERROR(VLOOKUP(N159,TD!$B$54:$F$58,4,0)," ")</f>
        <v>20240207</v>
      </c>
      <c r="X159" s="166" t="s">
        <v>174</v>
      </c>
      <c r="Y159" s="167" t="str">
        <f>IFERROR(VLOOKUP(X159,TD!$J$55:$K$68,2,0)," ")</f>
        <v>Infraestructura física, mantenimiento y dotación (Sedes construidas, mantenidas reforzadas)</v>
      </c>
      <c r="Z159" s="168" t="str">
        <f>CONCATENATE(X159,"-",Y159)</f>
        <v>08-Infraestructura física, mantenimiento y dotación (Sedes construidas, mantenidas reforzadas)</v>
      </c>
      <c r="AA159" s="166" t="s">
        <v>227</v>
      </c>
      <c r="AB159" s="167" t="str">
        <f>IFERROR(VLOOKUP(AA159,TD!$N$55:$O$70,2,0)," ")</f>
        <v>Sedes mantenidas</v>
      </c>
      <c r="AC159" s="168" t="str">
        <f>CONCATENATE(AA159,"_",AB159)</f>
        <v>016_Sedes mantenidas</v>
      </c>
      <c r="AD159" s="168" t="str">
        <f>CONCATENATE(Z159," ",AC159)</f>
        <v>08-Infraestructura física, mantenimiento y dotación (Sedes construidas, mantenidas reforzadas) 016_Sedes mantenidas</v>
      </c>
      <c r="AE159" s="167" t="str">
        <f>CONCATENATE(U159,V159,W159,X159,AA159)</f>
        <v>O23011745992024020708016</v>
      </c>
      <c r="AF159" s="167" t="str">
        <f>IFERROR(VLOOKUP(AD159,TD!$J$70:$K$93,2,0)," ")</f>
        <v>PM/0131/0108/45990160207</v>
      </c>
      <c r="AG159" s="114" t="s">
        <v>385</v>
      </c>
      <c r="AH159" s="166" t="s">
        <v>193</v>
      </c>
      <c r="AI159" s="169" t="str">
        <f>CONCATENATE(PAA[[#This Row],[Id Interno]],"-",PAA[[#This Row],[tipo de Contrato (TH talento humano - B/S bienes y/o servicios)]],"-",S159,"-",T159,"-",PAA[[#This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60" spans="2:35" ht="84" x14ac:dyDescent="0.35">
      <c r="B160" s="23">
        <v>20260116</v>
      </c>
      <c r="C160" s="97" t="s">
        <v>410</v>
      </c>
      <c r="D160" s="23" t="s">
        <v>105</v>
      </c>
      <c r="E160" s="23" t="s">
        <v>363</v>
      </c>
      <c r="F160" s="163" t="s">
        <v>145</v>
      </c>
      <c r="G160" s="164" t="s">
        <v>374</v>
      </c>
      <c r="H160" s="165">
        <v>8</v>
      </c>
      <c r="I160" s="165">
        <v>0</v>
      </c>
      <c r="J160" s="122">
        <v>46400000</v>
      </c>
      <c r="K160" s="88" t="s">
        <v>398</v>
      </c>
      <c r="L160" s="163" t="s">
        <v>153</v>
      </c>
      <c r="M160" s="166" t="s">
        <v>420</v>
      </c>
      <c r="N160" s="23" t="s">
        <v>197</v>
      </c>
      <c r="O160" s="144" t="s">
        <v>886</v>
      </c>
      <c r="P160" s="163" t="s">
        <v>348</v>
      </c>
      <c r="Q160" s="53">
        <v>80111600</v>
      </c>
      <c r="R160" s="166" t="s">
        <v>208</v>
      </c>
      <c r="S160" s="166" t="str">
        <f>MID(PAA[[#This Row],[Meta Proyecto de Inversión]],1,4)</f>
        <v>8126</v>
      </c>
      <c r="T160" s="166" t="str">
        <f>MID(PAA[[#This Row],[Meta Proyecto de Inversión]],6,2)</f>
        <v>9-</v>
      </c>
      <c r="U160" s="167" t="str">
        <f>IFERROR(VLOOKUP(N160,TD!$B$54:$F$58,2,0)," ")</f>
        <v>O230117</v>
      </c>
      <c r="V160" s="167" t="str">
        <f>IFERROR(VLOOKUP(N160,TD!$B$54:$F$58,3,0)," ")</f>
        <v>4599</v>
      </c>
      <c r="W160" s="167">
        <f>IFERROR(VLOOKUP(N160,TD!$B$54:$F$58,4,0)," ")</f>
        <v>20240207</v>
      </c>
      <c r="X160" s="166" t="s">
        <v>174</v>
      </c>
      <c r="Y160" s="167" t="str">
        <f>IFERROR(VLOOKUP(X160,TD!$J$55:$K$68,2,0)," ")</f>
        <v>Infraestructura física, mantenimiento y dotación (Sedes construidas, mantenidas reforzadas)</v>
      </c>
      <c r="Z160" s="168" t="str">
        <f>CONCATENATE(X160,"-",Y160)</f>
        <v>08-Infraestructura física, mantenimiento y dotación (Sedes construidas, mantenidas reforzadas)</v>
      </c>
      <c r="AA160" s="166" t="s">
        <v>227</v>
      </c>
      <c r="AB160" s="167" t="str">
        <f>IFERROR(VLOOKUP(AA160,TD!$N$55:$O$70,2,0)," ")</f>
        <v>Sedes mantenidas</v>
      </c>
      <c r="AC160" s="168" t="str">
        <f>CONCATENATE(AA160,"_",AB160)</f>
        <v>016_Sedes mantenidas</v>
      </c>
      <c r="AD160" s="168" t="str">
        <f>CONCATENATE(Z160," ",AC160)</f>
        <v>08-Infraestructura física, mantenimiento y dotación (Sedes construidas, mantenidas reforzadas) 016_Sedes mantenidas</v>
      </c>
      <c r="AE160" s="167" t="str">
        <f>CONCATENATE(U160,V160,W160,X160,AA160)</f>
        <v>O23011745992024020708016</v>
      </c>
      <c r="AF160" s="167" t="str">
        <f>IFERROR(VLOOKUP(AD160,TD!$J$70:$K$93,2,0)," ")</f>
        <v>PM/0131/0108/45990160207</v>
      </c>
      <c r="AG160" s="114" t="s">
        <v>385</v>
      </c>
      <c r="AH160" s="166" t="s">
        <v>193</v>
      </c>
      <c r="AI160" s="169" t="str">
        <f>CONCATENATE(PAA[[#This Row],[Id Interno]],"-",PAA[[#This Row],[tipo de Contrato (TH talento humano - B/S bienes y/o servicios)]],"-",S160,"-",T160,"-",PAA[[#This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61" spans="2:35" ht="56" x14ac:dyDescent="0.35">
      <c r="B161" s="23">
        <v>20260117</v>
      </c>
      <c r="C161" s="97" t="s">
        <v>411</v>
      </c>
      <c r="D161" s="23" t="s">
        <v>105</v>
      </c>
      <c r="E161" s="23" t="s">
        <v>363</v>
      </c>
      <c r="F161" s="163" t="s">
        <v>144</v>
      </c>
      <c r="G161" s="164" t="s">
        <v>374</v>
      </c>
      <c r="H161" s="165">
        <v>8</v>
      </c>
      <c r="I161" s="165">
        <v>0</v>
      </c>
      <c r="J161" s="122">
        <v>72000000</v>
      </c>
      <c r="K161" s="88" t="s">
        <v>398</v>
      </c>
      <c r="L161" s="163" t="s">
        <v>153</v>
      </c>
      <c r="M161" s="166" t="s">
        <v>420</v>
      </c>
      <c r="N161" s="23" t="s">
        <v>197</v>
      </c>
      <c r="O161" s="144" t="s">
        <v>886</v>
      </c>
      <c r="P161" s="163" t="s">
        <v>348</v>
      </c>
      <c r="Q161" s="53">
        <v>80111600</v>
      </c>
      <c r="R161" s="166" t="s">
        <v>208</v>
      </c>
      <c r="S161" s="166" t="str">
        <f>MID(PAA[[#This Row],[Meta Proyecto de Inversión]],1,4)</f>
        <v>8126</v>
      </c>
      <c r="T161" s="166" t="str">
        <f>MID(PAA[[#This Row],[Meta Proyecto de Inversión]],6,2)</f>
        <v>9-</v>
      </c>
      <c r="U161" s="167" t="str">
        <f>IFERROR(VLOOKUP(N161,TD!$B$54:$F$58,2,0)," ")</f>
        <v>O230117</v>
      </c>
      <c r="V161" s="167" t="str">
        <f>IFERROR(VLOOKUP(N161,TD!$B$54:$F$58,3,0)," ")</f>
        <v>4599</v>
      </c>
      <c r="W161" s="167">
        <f>IFERROR(VLOOKUP(N161,TD!$B$54:$F$58,4,0)," ")</f>
        <v>20240207</v>
      </c>
      <c r="X161" s="166" t="s">
        <v>174</v>
      </c>
      <c r="Y161" s="167" t="str">
        <f>IFERROR(VLOOKUP(X161,TD!$J$55:$K$68,2,0)," ")</f>
        <v>Infraestructura física, mantenimiento y dotación (Sedes construidas, mantenidas reforzadas)</v>
      </c>
      <c r="Z161" s="168" t="str">
        <f>CONCATENATE(X161,"-",Y161)</f>
        <v>08-Infraestructura física, mantenimiento y dotación (Sedes construidas, mantenidas reforzadas)</v>
      </c>
      <c r="AA161" s="166" t="s">
        <v>227</v>
      </c>
      <c r="AB161" s="167" t="str">
        <f>IFERROR(VLOOKUP(AA161,TD!$N$55:$O$70,2,0)," ")</f>
        <v>Sedes mantenidas</v>
      </c>
      <c r="AC161" s="168" t="str">
        <f>CONCATENATE(AA161,"_",AB161)</f>
        <v>016_Sedes mantenidas</v>
      </c>
      <c r="AD161" s="168" t="str">
        <f>CONCATENATE(Z161," ",AC161)</f>
        <v>08-Infraestructura física, mantenimiento y dotación (Sedes construidas, mantenidas reforzadas) 016_Sedes mantenidas</v>
      </c>
      <c r="AE161" s="167" t="str">
        <f>CONCATENATE(U161,V161,W161,X161,AA161)</f>
        <v>O23011745992024020708016</v>
      </c>
      <c r="AF161" s="167" t="str">
        <f>IFERROR(VLOOKUP(AD161,TD!$J$70:$K$93,2,0)," ")</f>
        <v>PM/0131/0108/45990160207</v>
      </c>
      <c r="AG161" s="114" t="s">
        <v>385</v>
      </c>
      <c r="AH161" s="166" t="s">
        <v>193</v>
      </c>
      <c r="AI161" s="169" t="str">
        <f>CONCATENATE(PAA[[#This Row],[Id Interno]],"-",PAA[[#This Row],[tipo de Contrato (TH talento humano - B/S bienes y/o servicios)]],"-",S161,"-",T161,"-",PAA[[#This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62" spans="2:35" ht="56" x14ac:dyDescent="0.35">
      <c r="B162" s="23">
        <v>20260118</v>
      </c>
      <c r="C162" s="97" t="s">
        <v>412</v>
      </c>
      <c r="D162" s="23" t="s">
        <v>105</v>
      </c>
      <c r="E162" s="23" t="s">
        <v>363</v>
      </c>
      <c r="F162" s="163" t="s">
        <v>144</v>
      </c>
      <c r="G162" s="164" t="s">
        <v>374</v>
      </c>
      <c r="H162" s="165">
        <v>11</v>
      </c>
      <c r="I162" s="165">
        <v>0</v>
      </c>
      <c r="J162" s="122">
        <v>374000000</v>
      </c>
      <c r="K162" s="88" t="s">
        <v>398</v>
      </c>
      <c r="L162" s="163" t="s">
        <v>153</v>
      </c>
      <c r="M162" s="166" t="s">
        <v>420</v>
      </c>
      <c r="N162" s="23" t="s">
        <v>197</v>
      </c>
      <c r="O162" s="144" t="s">
        <v>886</v>
      </c>
      <c r="P162" s="163" t="s">
        <v>348</v>
      </c>
      <c r="Q162" s="53">
        <v>80111600</v>
      </c>
      <c r="R162" s="166" t="s">
        <v>208</v>
      </c>
      <c r="S162" s="166" t="str">
        <f>MID(PAA[[#This Row],[Meta Proyecto de Inversión]],1,4)</f>
        <v>8126</v>
      </c>
      <c r="T162" s="166" t="str">
        <f>MID(PAA[[#This Row],[Meta Proyecto de Inversión]],6,2)</f>
        <v>9-</v>
      </c>
      <c r="U162" s="167" t="str">
        <f>IFERROR(VLOOKUP(N162,TD!$B$54:$F$58,2,0)," ")</f>
        <v>O230117</v>
      </c>
      <c r="V162" s="167" t="str">
        <f>IFERROR(VLOOKUP(N162,TD!$B$54:$F$58,3,0)," ")</f>
        <v>4599</v>
      </c>
      <c r="W162" s="167">
        <f>IFERROR(VLOOKUP(N162,TD!$B$54:$F$58,4,0)," ")</f>
        <v>20240207</v>
      </c>
      <c r="X162" s="166" t="s">
        <v>174</v>
      </c>
      <c r="Y162" s="167" t="str">
        <f>IFERROR(VLOOKUP(X162,TD!$J$55:$K$68,2,0)," ")</f>
        <v>Infraestructura física, mantenimiento y dotación (Sedes construidas, mantenidas reforzadas)</v>
      </c>
      <c r="Z162" s="168" t="str">
        <f>CONCATENATE(X162,"-",Y162)</f>
        <v>08-Infraestructura física, mantenimiento y dotación (Sedes construidas, mantenidas reforzadas)</v>
      </c>
      <c r="AA162" s="166" t="s">
        <v>227</v>
      </c>
      <c r="AB162" s="167" t="str">
        <f>IFERROR(VLOOKUP(AA162,TD!$N$55:$O$70,2,0)," ")</f>
        <v>Sedes mantenidas</v>
      </c>
      <c r="AC162" s="168" t="str">
        <f>CONCATENATE(AA162,"_",AB162)</f>
        <v>016_Sedes mantenidas</v>
      </c>
      <c r="AD162" s="168" t="str">
        <f>CONCATENATE(Z162," ",AC162)</f>
        <v>08-Infraestructura física, mantenimiento y dotación (Sedes construidas, mantenidas reforzadas) 016_Sedes mantenidas</v>
      </c>
      <c r="AE162" s="167" t="str">
        <f>CONCATENATE(U162,V162,W162,X162,AA162)</f>
        <v>O23011745992024020708016</v>
      </c>
      <c r="AF162" s="167" t="str">
        <f>IFERROR(VLOOKUP(AD162,TD!$J$70:$K$93,2,0)," ")</f>
        <v>PM/0131/0108/45990160207</v>
      </c>
      <c r="AG162" s="114" t="s">
        <v>385</v>
      </c>
      <c r="AH162" s="166" t="s">
        <v>193</v>
      </c>
      <c r="AI162" s="169" t="str">
        <f>CONCATENATE(PAA[[#This Row],[Id Interno]],"-",PAA[[#This Row],[tipo de Contrato (TH talento humano - B/S bienes y/o servicios)]],"-",S162,"-",T162,"-",PAA[[#This Row],[Objeto de la contratación]])</f>
        <v>20260118-TH-8126-9--Prestar los servicios profesionales especializados para la representación judicial  de la Entidad y la prevención del daño antijurídico.</v>
      </c>
    </row>
    <row r="163" spans="2:35" ht="56" x14ac:dyDescent="0.35">
      <c r="B163" s="23">
        <v>20260119</v>
      </c>
      <c r="C163" s="97" t="s">
        <v>413</v>
      </c>
      <c r="D163" s="23" t="s">
        <v>105</v>
      </c>
      <c r="E163" s="23" t="s">
        <v>363</v>
      </c>
      <c r="F163" s="163" t="s">
        <v>145</v>
      </c>
      <c r="G163" s="164" t="s">
        <v>374</v>
      </c>
      <c r="H163" s="165">
        <v>8</v>
      </c>
      <c r="I163" s="165">
        <v>0</v>
      </c>
      <c r="J163" s="122">
        <v>28800000</v>
      </c>
      <c r="K163" s="88" t="s">
        <v>398</v>
      </c>
      <c r="L163" s="163" t="s">
        <v>153</v>
      </c>
      <c r="M163" s="166" t="s">
        <v>420</v>
      </c>
      <c r="N163" s="23" t="s">
        <v>197</v>
      </c>
      <c r="O163" s="144" t="s">
        <v>886</v>
      </c>
      <c r="P163" s="163" t="s">
        <v>348</v>
      </c>
      <c r="Q163" s="53">
        <v>80111600</v>
      </c>
      <c r="R163" s="166" t="s">
        <v>208</v>
      </c>
      <c r="S163" s="166" t="str">
        <f>MID(PAA[[#This Row],[Meta Proyecto de Inversión]],1,4)</f>
        <v>8126</v>
      </c>
      <c r="T163" s="166" t="str">
        <f>MID(PAA[[#This Row],[Meta Proyecto de Inversión]],6,2)</f>
        <v>9-</v>
      </c>
      <c r="U163" s="167" t="str">
        <f>IFERROR(VLOOKUP(N163,TD!$B$54:$F$58,2,0)," ")</f>
        <v>O230117</v>
      </c>
      <c r="V163" s="167" t="str">
        <f>IFERROR(VLOOKUP(N163,TD!$B$54:$F$58,3,0)," ")</f>
        <v>4599</v>
      </c>
      <c r="W163" s="167">
        <f>IFERROR(VLOOKUP(N163,TD!$B$54:$F$58,4,0)," ")</f>
        <v>20240207</v>
      </c>
      <c r="X163" s="166" t="s">
        <v>174</v>
      </c>
      <c r="Y163" s="167" t="str">
        <f>IFERROR(VLOOKUP(X163,TD!$J$55:$K$68,2,0)," ")</f>
        <v>Infraestructura física, mantenimiento y dotación (Sedes construidas, mantenidas reforzadas)</v>
      </c>
      <c r="Z163" s="168" t="str">
        <f>CONCATENATE(X163,"-",Y163)</f>
        <v>08-Infraestructura física, mantenimiento y dotación (Sedes construidas, mantenidas reforzadas)</v>
      </c>
      <c r="AA163" s="166" t="s">
        <v>227</v>
      </c>
      <c r="AB163" s="167" t="str">
        <f>IFERROR(VLOOKUP(AA163,TD!$N$55:$O$70,2,0)," ")</f>
        <v>Sedes mantenidas</v>
      </c>
      <c r="AC163" s="168" t="str">
        <f>CONCATENATE(AA163,"_",AB163)</f>
        <v>016_Sedes mantenidas</v>
      </c>
      <c r="AD163" s="168" t="str">
        <f>CONCATENATE(Z163," ",AC163)</f>
        <v>08-Infraestructura física, mantenimiento y dotación (Sedes construidas, mantenidas reforzadas) 016_Sedes mantenidas</v>
      </c>
      <c r="AE163" s="167" t="str">
        <f>CONCATENATE(U163,V163,W163,X163,AA163)</f>
        <v>O23011745992024020708016</v>
      </c>
      <c r="AF163" s="167" t="str">
        <f>IFERROR(VLOOKUP(AD163,TD!$J$70:$K$93,2,0)," ")</f>
        <v>PM/0131/0108/45990160207</v>
      </c>
      <c r="AG163" s="114" t="s">
        <v>385</v>
      </c>
      <c r="AH163" s="166" t="s">
        <v>193</v>
      </c>
      <c r="AI163" s="169" t="str">
        <f>CONCATENATE(PAA[[#This Row],[Id Interno]],"-",PAA[[#This Row],[tipo de Contrato (TH talento humano - B/S bienes y/o servicios)]],"-",S163,"-",T163,"-",PAA[[#This Row],[Objeto de la contratación]])</f>
        <v>20260119-TH-8126-9--Prestar los servicios de apoyo para las gestiones administrativas requeridas en la Oficina Jurídica.</v>
      </c>
    </row>
    <row r="164" spans="2:35" ht="42" x14ac:dyDescent="0.35">
      <c r="B164" s="23">
        <v>20260120</v>
      </c>
      <c r="C164" s="97" t="s">
        <v>414</v>
      </c>
      <c r="D164" s="23" t="s">
        <v>105</v>
      </c>
      <c r="E164" s="23" t="s">
        <v>363</v>
      </c>
      <c r="F164" s="163" t="s">
        <v>145</v>
      </c>
      <c r="G164" s="164" t="s">
        <v>374</v>
      </c>
      <c r="H164" s="165">
        <v>8</v>
      </c>
      <c r="I164" s="165">
        <v>0</v>
      </c>
      <c r="J164" s="122">
        <v>28800000</v>
      </c>
      <c r="K164" s="88" t="s">
        <v>398</v>
      </c>
      <c r="L164" s="163" t="s">
        <v>153</v>
      </c>
      <c r="M164" s="166" t="s">
        <v>420</v>
      </c>
      <c r="N164" s="23" t="s">
        <v>197</v>
      </c>
      <c r="O164" s="144" t="s">
        <v>886</v>
      </c>
      <c r="P164" s="163" t="s">
        <v>348</v>
      </c>
      <c r="Q164" s="53">
        <v>80111600</v>
      </c>
      <c r="R164" s="166" t="s">
        <v>208</v>
      </c>
      <c r="S164" s="166" t="str">
        <f>MID(PAA[[#This Row],[Meta Proyecto de Inversión]],1,4)</f>
        <v>8126</v>
      </c>
      <c r="T164" s="166" t="str">
        <f>MID(PAA[[#This Row],[Meta Proyecto de Inversión]],6,2)</f>
        <v>9-</v>
      </c>
      <c r="U164" s="167" t="str">
        <f>IFERROR(VLOOKUP(N164,TD!$B$54:$F$58,2,0)," ")</f>
        <v>O230117</v>
      </c>
      <c r="V164" s="167" t="str">
        <f>IFERROR(VLOOKUP(N164,TD!$B$54:$F$58,3,0)," ")</f>
        <v>4599</v>
      </c>
      <c r="W164" s="167">
        <f>IFERROR(VLOOKUP(N164,TD!$B$54:$F$58,4,0)," ")</f>
        <v>20240207</v>
      </c>
      <c r="X164" s="166" t="s">
        <v>174</v>
      </c>
      <c r="Y164" s="167" t="str">
        <f>IFERROR(VLOOKUP(X164,TD!$J$55:$K$68,2,0)," ")</f>
        <v>Infraestructura física, mantenimiento y dotación (Sedes construidas, mantenidas reforzadas)</v>
      </c>
      <c r="Z164" s="168" t="str">
        <f>CONCATENATE(X164,"-",Y164)</f>
        <v>08-Infraestructura física, mantenimiento y dotación (Sedes construidas, mantenidas reforzadas)</v>
      </c>
      <c r="AA164" s="166" t="s">
        <v>227</v>
      </c>
      <c r="AB164" s="167" t="str">
        <f>IFERROR(VLOOKUP(AA164,TD!$N$55:$O$70,2,0)," ")</f>
        <v>Sedes mantenidas</v>
      </c>
      <c r="AC164" s="168" t="str">
        <f>CONCATENATE(AA164,"_",AB164)</f>
        <v>016_Sedes mantenidas</v>
      </c>
      <c r="AD164" s="168" t="str">
        <f>CONCATENATE(Z164," ",AC164)</f>
        <v>08-Infraestructura física, mantenimiento y dotación (Sedes construidas, mantenidas reforzadas) 016_Sedes mantenidas</v>
      </c>
      <c r="AE164" s="167" t="str">
        <f>CONCATENATE(U164,V164,W164,X164,AA164)</f>
        <v>O23011745992024020708016</v>
      </c>
      <c r="AF164" s="167" t="str">
        <f>IFERROR(VLOOKUP(AD164,TD!$J$70:$K$93,2,0)," ")</f>
        <v>PM/0131/0108/45990160207</v>
      </c>
      <c r="AG164" s="114" t="s">
        <v>385</v>
      </c>
      <c r="AH164" s="166" t="s">
        <v>193</v>
      </c>
      <c r="AI164" s="169" t="str">
        <f>CONCATENATE(PAA[[#This Row],[Id Interno]],"-",PAA[[#This Row],[tipo de Contrato (TH talento humano - B/S bienes y/o servicios)]],"-",S164,"-",T164,"-",PAA[[#This Row],[Objeto de la contratación]])</f>
        <v>20260120-TH-8126-9--Prestar los servicios de apoyo para las gestiones documentales y administrativas requerida por la Oficina  Jurídica.</v>
      </c>
    </row>
    <row r="165" spans="2:35" ht="42" x14ac:dyDescent="0.35">
      <c r="B165" s="23">
        <v>20260121</v>
      </c>
      <c r="C165" s="97" t="s">
        <v>414</v>
      </c>
      <c r="D165" s="23" t="s">
        <v>105</v>
      </c>
      <c r="E165" s="23" t="s">
        <v>363</v>
      </c>
      <c r="F165" s="163" t="s">
        <v>145</v>
      </c>
      <c r="G165" s="164" t="s">
        <v>374</v>
      </c>
      <c r="H165" s="165">
        <v>8</v>
      </c>
      <c r="I165" s="165">
        <v>0</v>
      </c>
      <c r="J165" s="122">
        <v>28800000</v>
      </c>
      <c r="K165" s="88" t="s">
        <v>398</v>
      </c>
      <c r="L165" s="163" t="s">
        <v>153</v>
      </c>
      <c r="M165" s="166" t="s">
        <v>420</v>
      </c>
      <c r="N165" s="23" t="s">
        <v>197</v>
      </c>
      <c r="O165" s="144" t="s">
        <v>886</v>
      </c>
      <c r="P165" s="163" t="s">
        <v>348</v>
      </c>
      <c r="Q165" s="53">
        <v>80111600</v>
      </c>
      <c r="R165" s="166" t="s">
        <v>208</v>
      </c>
      <c r="S165" s="166" t="str">
        <f>MID(PAA[[#This Row],[Meta Proyecto de Inversión]],1,4)</f>
        <v>8126</v>
      </c>
      <c r="T165" s="166" t="str">
        <f>MID(PAA[[#This Row],[Meta Proyecto de Inversión]],6,2)</f>
        <v>9-</v>
      </c>
      <c r="U165" s="167" t="str">
        <f>IFERROR(VLOOKUP(N165,TD!$B$54:$F$58,2,0)," ")</f>
        <v>O230117</v>
      </c>
      <c r="V165" s="167" t="str">
        <f>IFERROR(VLOOKUP(N165,TD!$B$54:$F$58,3,0)," ")</f>
        <v>4599</v>
      </c>
      <c r="W165" s="167">
        <f>IFERROR(VLOOKUP(N165,TD!$B$54:$F$58,4,0)," ")</f>
        <v>20240207</v>
      </c>
      <c r="X165" s="166" t="s">
        <v>174</v>
      </c>
      <c r="Y165" s="167" t="str">
        <f>IFERROR(VLOOKUP(X165,TD!$J$55:$K$68,2,0)," ")</f>
        <v>Infraestructura física, mantenimiento y dotación (Sedes construidas, mantenidas reforzadas)</v>
      </c>
      <c r="Z165" s="168" t="str">
        <f>CONCATENATE(X165,"-",Y165)</f>
        <v>08-Infraestructura física, mantenimiento y dotación (Sedes construidas, mantenidas reforzadas)</v>
      </c>
      <c r="AA165" s="166" t="s">
        <v>227</v>
      </c>
      <c r="AB165" s="167" t="str">
        <f>IFERROR(VLOOKUP(AA165,TD!$N$55:$O$70,2,0)," ")</f>
        <v>Sedes mantenidas</v>
      </c>
      <c r="AC165" s="168" t="str">
        <f>CONCATENATE(AA165,"_",AB165)</f>
        <v>016_Sedes mantenidas</v>
      </c>
      <c r="AD165" s="168" t="str">
        <f>CONCATENATE(Z165," ",AC165)</f>
        <v>08-Infraestructura física, mantenimiento y dotación (Sedes construidas, mantenidas reforzadas) 016_Sedes mantenidas</v>
      </c>
      <c r="AE165" s="167" t="str">
        <f>CONCATENATE(U165,V165,W165,X165,AA165)</f>
        <v>O23011745992024020708016</v>
      </c>
      <c r="AF165" s="167" t="str">
        <f>IFERROR(VLOOKUP(AD165,TD!$J$70:$K$93,2,0)," ")</f>
        <v>PM/0131/0108/45990160207</v>
      </c>
      <c r="AG165" s="114" t="s">
        <v>385</v>
      </c>
      <c r="AH165" s="166" t="s">
        <v>193</v>
      </c>
      <c r="AI165" s="169" t="str">
        <f>CONCATENATE(PAA[[#This Row],[Id Interno]],"-",PAA[[#This Row],[tipo de Contrato (TH talento humano - B/S bienes y/o servicios)]],"-",S165,"-",T165,"-",PAA[[#This Row],[Objeto de la contratación]])</f>
        <v>20260121-TH-8126-9--Prestar los servicios de apoyo para las gestiones documentales y administrativas requerida por la Oficina  Jurídica.</v>
      </c>
    </row>
    <row r="166" spans="2:35" ht="42" x14ac:dyDescent="0.35">
      <c r="B166" s="23">
        <v>20260122</v>
      </c>
      <c r="C166" s="97" t="s">
        <v>415</v>
      </c>
      <c r="D166" s="23" t="s">
        <v>105</v>
      </c>
      <c r="E166" s="23" t="s">
        <v>363</v>
      </c>
      <c r="F166" s="163" t="s">
        <v>144</v>
      </c>
      <c r="G166" s="164" t="s">
        <v>374</v>
      </c>
      <c r="H166" s="165">
        <v>8</v>
      </c>
      <c r="I166" s="165">
        <v>0</v>
      </c>
      <c r="J166" s="122">
        <v>64000000</v>
      </c>
      <c r="K166" s="88" t="s">
        <v>398</v>
      </c>
      <c r="L166" s="163" t="s">
        <v>153</v>
      </c>
      <c r="M166" s="166" t="s">
        <v>420</v>
      </c>
      <c r="N166" s="23" t="s">
        <v>197</v>
      </c>
      <c r="O166" s="144" t="s">
        <v>886</v>
      </c>
      <c r="P166" s="163" t="s">
        <v>348</v>
      </c>
      <c r="Q166" s="53">
        <v>80111600</v>
      </c>
      <c r="R166" s="166" t="s">
        <v>208</v>
      </c>
      <c r="S166" s="166" t="str">
        <f>MID(PAA[[#This Row],[Meta Proyecto de Inversión]],1,4)</f>
        <v>8126</v>
      </c>
      <c r="T166" s="166" t="str">
        <f>MID(PAA[[#This Row],[Meta Proyecto de Inversión]],6,2)</f>
        <v>9-</v>
      </c>
      <c r="U166" s="167" t="str">
        <f>IFERROR(VLOOKUP(N166,TD!$B$54:$F$58,2,0)," ")</f>
        <v>O230117</v>
      </c>
      <c r="V166" s="167" t="str">
        <f>IFERROR(VLOOKUP(N166,TD!$B$54:$F$58,3,0)," ")</f>
        <v>4599</v>
      </c>
      <c r="W166" s="167">
        <f>IFERROR(VLOOKUP(N166,TD!$B$54:$F$58,4,0)," ")</f>
        <v>20240207</v>
      </c>
      <c r="X166" s="166" t="s">
        <v>174</v>
      </c>
      <c r="Y166" s="167" t="str">
        <f>IFERROR(VLOOKUP(X166,TD!$J$55:$K$68,2,0)," ")</f>
        <v>Infraestructura física, mantenimiento y dotación (Sedes construidas, mantenidas reforzadas)</v>
      </c>
      <c r="Z166" s="168" t="str">
        <f>CONCATENATE(X166,"-",Y166)</f>
        <v>08-Infraestructura física, mantenimiento y dotación (Sedes construidas, mantenidas reforzadas)</v>
      </c>
      <c r="AA166" s="166" t="s">
        <v>227</v>
      </c>
      <c r="AB166" s="167" t="str">
        <f>IFERROR(VLOOKUP(AA166,TD!$N$55:$O$70,2,0)," ")</f>
        <v>Sedes mantenidas</v>
      </c>
      <c r="AC166" s="168" t="str">
        <f>CONCATENATE(AA166,"_",AB166)</f>
        <v>016_Sedes mantenidas</v>
      </c>
      <c r="AD166" s="168" t="str">
        <f>CONCATENATE(Z166," ",AC166)</f>
        <v>08-Infraestructura física, mantenimiento y dotación (Sedes construidas, mantenidas reforzadas) 016_Sedes mantenidas</v>
      </c>
      <c r="AE166" s="167" t="str">
        <f>CONCATENATE(U166,V166,W166,X166,AA166)</f>
        <v>O23011745992024020708016</v>
      </c>
      <c r="AF166" s="167" t="str">
        <f>IFERROR(VLOOKUP(AD166,TD!$J$70:$K$93,2,0)," ")</f>
        <v>PM/0131/0108/45990160207</v>
      </c>
      <c r="AG166" s="114" t="s">
        <v>385</v>
      </c>
      <c r="AH166" s="166" t="s">
        <v>193</v>
      </c>
      <c r="AI166" s="169" t="str">
        <f>CONCATENATE(PAA[[#This Row],[Id Interno]],"-",PAA[[#This Row],[tipo de Contrato (TH talento humano - B/S bienes y/o servicios)]],"-",S166,"-",T166,"-",PAA[[#This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67" spans="2:35" ht="42" x14ac:dyDescent="0.35">
      <c r="B167" s="23">
        <v>20260123</v>
      </c>
      <c r="C167" s="97" t="s">
        <v>416</v>
      </c>
      <c r="D167" s="23" t="s">
        <v>105</v>
      </c>
      <c r="E167" s="23" t="s">
        <v>363</v>
      </c>
      <c r="F167" s="163" t="s">
        <v>144</v>
      </c>
      <c r="G167" s="164" t="s">
        <v>374</v>
      </c>
      <c r="H167" s="165">
        <v>8</v>
      </c>
      <c r="I167" s="165">
        <v>0</v>
      </c>
      <c r="J167" s="122">
        <v>46100000</v>
      </c>
      <c r="K167" s="88" t="s">
        <v>398</v>
      </c>
      <c r="L167" s="163" t="s">
        <v>153</v>
      </c>
      <c r="M167" s="166" t="s">
        <v>420</v>
      </c>
      <c r="N167" s="23" t="s">
        <v>197</v>
      </c>
      <c r="O167" s="144" t="s">
        <v>886</v>
      </c>
      <c r="P167" s="163" t="s">
        <v>348</v>
      </c>
      <c r="Q167" s="53">
        <v>80111600</v>
      </c>
      <c r="R167" s="166" t="s">
        <v>208</v>
      </c>
      <c r="S167" s="166" t="str">
        <f>MID(PAA[[#This Row],[Meta Proyecto de Inversión]],1,4)</f>
        <v>8126</v>
      </c>
      <c r="T167" s="166" t="str">
        <f>MID(PAA[[#This Row],[Meta Proyecto de Inversión]],6,2)</f>
        <v>9-</v>
      </c>
      <c r="U167" s="167" t="str">
        <f>IFERROR(VLOOKUP(N167,TD!$B$54:$F$58,2,0)," ")</f>
        <v>O230117</v>
      </c>
      <c r="V167" s="167" t="str">
        <f>IFERROR(VLOOKUP(N167,TD!$B$54:$F$58,3,0)," ")</f>
        <v>4599</v>
      </c>
      <c r="W167" s="167">
        <f>IFERROR(VLOOKUP(N167,TD!$B$54:$F$58,4,0)," ")</f>
        <v>20240207</v>
      </c>
      <c r="X167" s="166" t="s">
        <v>174</v>
      </c>
      <c r="Y167" s="167" t="str">
        <f>IFERROR(VLOOKUP(X167,TD!$J$55:$K$68,2,0)," ")</f>
        <v>Infraestructura física, mantenimiento y dotación (Sedes construidas, mantenidas reforzadas)</v>
      </c>
      <c r="Z167" s="168" t="str">
        <f>CONCATENATE(X167,"-",Y167)</f>
        <v>08-Infraestructura física, mantenimiento y dotación (Sedes construidas, mantenidas reforzadas)</v>
      </c>
      <c r="AA167" s="166" t="s">
        <v>227</v>
      </c>
      <c r="AB167" s="167" t="str">
        <f>IFERROR(VLOOKUP(AA167,TD!$N$55:$O$70,2,0)," ")</f>
        <v>Sedes mantenidas</v>
      </c>
      <c r="AC167" s="168" t="str">
        <f>CONCATENATE(AA167,"_",AB167)</f>
        <v>016_Sedes mantenidas</v>
      </c>
      <c r="AD167" s="168" t="str">
        <f>CONCATENATE(Z167," ",AC167)</f>
        <v>08-Infraestructura física, mantenimiento y dotación (Sedes construidas, mantenidas reforzadas) 016_Sedes mantenidas</v>
      </c>
      <c r="AE167" s="167" t="str">
        <f>CONCATENATE(U167,V167,W167,X167,AA167)</f>
        <v>O23011745992024020708016</v>
      </c>
      <c r="AF167" s="167" t="str">
        <f>IFERROR(VLOOKUP(AD167,TD!$J$70:$K$93,2,0)," ")</f>
        <v>PM/0131/0108/45990160207</v>
      </c>
      <c r="AG167" s="114" t="s">
        <v>385</v>
      </c>
      <c r="AH167" s="166" t="s">
        <v>193</v>
      </c>
      <c r="AI167" s="169" t="str">
        <f>CONCATENATE(PAA[[#This Row],[Id Interno]],"-",PAA[[#This Row],[tipo de Contrato (TH talento humano - B/S bienes y/o servicios)]],"-",S167,"-",T167,"-",PAA[[#This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68" spans="2:35" ht="70" x14ac:dyDescent="0.35">
      <c r="B168" s="23">
        <v>20260124</v>
      </c>
      <c r="C168" s="97" t="s">
        <v>417</v>
      </c>
      <c r="D168" s="23" t="s">
        <v>105</v>
      </c>
      <c r="E168" s="23" t="s">
        <v>363</v>
      </c>
      <c r="F168" s="163" t="s">
        <v>144</v>
      </c>
      <c r="G168" s="164" t="s">
        <v>374</v>
      </c>
      <c r="H168" s="165">
        <v>8</v>
      </c>
      <c r="I168" s="165">
        <v>0</v>
      </c>
      <c r="J168" s="122">
        <v>60000000</v>
      </c>
      <c r="K168" s="88" t="s">
        <v>398</v>
      </c>
      <c r="L168" s="163" t="s">
        <v>153</v>
      </c>
      <c r="M168" s="166" t="s">
        <v>420</v>
      </c>
      <c r="N168" s="23" t="s">
        <v>197</v>
      </c>
      <c r="O168" s="144" t="s">
        <v>886</v>
      </c>
      <c r="P168" s="163" t="s">
        <v>348</v>
      </c>
      <c r="Q168" s="53">
        <v>80111600</v>
      </c>
      <c r="R168" s="166" t="s">
        <v>208</v>
      </c>
      <c r="S168" s="166" t="str">
        <f>MID(PAA[[#This Row],[Meta Proyecto de Inversión]],1,4)</f>
        <v>8126</v>
      </c>
      <c r="T168" s="166" t="str">
        <f>MID(PAA[[#This Row],[Meta Proyecto de Inversión]],6,2)</f>
        <v>9-</v>
      </c>
      <c r="U168" s="167" t="str">
        <f>IFERROR(VLOOKUP(N168,TD!$B$54:$F$58,2,0)," ")</f>
        <v>O230117</v>
      </c>
      <c r="V168" s="167" t="str">
        <f>IFERROR(VLOOKUP(N168,TD!$B$54:$F$58,3,0)," ")</f>
        <v>4599</v>
      </c>
      <c r="W168" s="167">
        <f>IFERROR(VLOOKUP(N168,TD!$B$54:$F$58,4,0)," ")</f>
        <v>20240207</v>
      </c>
      <c r="X168" s="166" t="s">
        <v>174</v>
      </c>
      <c r="Y168" s="167" t="str">
        <f>IFERROR(VLOOKUP(X168,TD!$J$55:$K$68,2,0)," ")</f>
        <v>Infraestructura física, mantenimiento y dotación (Sedes construidas, mantenidas reforzadas)</v>
      </c>
      <c r="Z168" s="168" t="str">
        <f>CONCATENATE(X168,"-",Y168)</f>
        <v>08-Infraestructura física, mantenimiento y dotación (Sedes construidas, mantenidas reforzadas)</v>
      </c>
      <c r="AA168" s="166" t="s">
        <v>227</v>
      </c>
      <c r="AB168" s="167" t="str">
        <f>IFERROR(VLOOKUP(AA168,TD!$N$55:$O$70,2,0)," ")</f>
        <v>Sedes mantenidas</v>
      </c>
      <c r="AC168" s="168" t="str">
        <f>CONCATENATE(AA168,"_",AB168)</f>
        <v>016_Sedes mantenidas</v>
      </c>
      <c r="AD168" s="168" t="str">
        <f>CONCATENATE(Z168," ",AC168)</f>
        <v>08-Infraestructura física, mantenimiento y dotación (Sedes construidas, mantenidas reforzadas) 016_Sedes mantenidas</v>
      </c>
      <c r="AE168" s="167" t="str">
        <f>CONCATENATE(U168,V168,W168,X168,AA168)</f>
        <v>O23011745992024020708016</v>
      </c>
      <c r="AF168" s="167" t="str">
        <f>IFERROR(VLOOKUP(AD168,TD!$J$70:$K$93,2,0)," ")</f>
        <v>PM/0131/0108/45990160207</v>
      </c>
      <c r="AG168" s="114" t="s">
        <v>385</v>
      </c>
      <c r="AH168" s="166" t="s">
        <v>193</v>
      </c>
      <c r="AI168" s="169" t="str">
        <f>CONCATENATE(PAA[[#This Row],[Id Interno]],"-",PAA[[#This Row],[tipo de Contrato (TH talento humano - B/S bienes y/o servicios)]],"-",S168,"-",T168,"-",PAA[[#This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69" spans="2:35" ht="56" x14ac:dyDescent="0.35">
      <c r="B169" s="23">
        <v>20260125</v>
      </c>
      <c r="C169" s="97" t="s">
        <v>418</v>
      </c>
      <c r="D169" s="23" t="s">
        <v>105</v>
      </c>
      <c r="E169" s="23" t="s">
        <v>363</v>
      </c>
      <c r="F169" s="163" t="s">
        <v>144</v>
      </c>
      <c r="G169" s="164" t="s">
        <v>374</v>
      </c>
      <c r="H169" s="165">
        <v>8</v>
      </c>
      <c r="I169" s="165">
        <v>0</v>
      </c>
      <c r="J169" s="122">
        <v>64000000</v>
      </c>
      <c r="K169" s="88" t="s">
        <v>398</v>
      </c>
      <c r="L169" s="163" t="s">
        <v>153</v>
      </c>
      <c r="M169" s="166" t="s">
        <v>420</v>
      </c>
      <c r="N169" s="23" t="s">
        <v>197</v>
      </c>
      <c r="O169" s="144" t="s">
        <v>886</v>
      </c>
      <c r="P169" s="163" t="s">
        <v>348</v>
      </c>
      <c r="Q169" s="53">
        <v>80111600</v>
      </c>
      <c r="R169" s="166" t="s">
        <v>208</v>
      </c>
      <c r="S169" s="166" t="str">
        <f>MID(PAA[[#This Row],[Meta Proyecto de Inversión]],1,4)</f>
        <v>8126</v>
      </c>
      <c r="T169" s="166" t="str">
        <f>MID(PAA[[#This Row],[Meta Proyecto de Inversión]],6,2)</f>
        <v>9-</v>
      </c>
      <c r="U169" s="167" t="str">
        <f>IFERROR(VLOOKUP(N169,TD!$B$54:$F$58,2,0)," ")</f>
        <v>O230117</v>
      </c>
      <c r="V169" s="167" t="str">
        <f>IFERROR(VLOOKUP(N169,TD!$B$54:$F$58,3,0)," ")</f>
        <v>4599</v>
      </c>
      <c r="W169" s="167">
        <f>IFERROR(VLOOKUP(N169,TD!$B$54:$F$58,4,0)," ")</f>
        <v>20240207</v>
      </c>
      <c r="X169" s="166" t="s">
        <v>174</v>
      </c>
      <c r="Y169" s="167" t="str">
        <f>IFERROR(VLOOKUP(X169,TD!$J$55:$K$68,2,0)," ")</f>
        <v>Infraestructura física, mantenimiento y dotación (Sedes construidas, mantenidas reforzadas)</v>
      </c>
      <c r="Z169" s="168" t="str">
        <f>CONCATENATE(X169,"-",Y169)</f>
        <v>08-Infraestructura física, mantenimiento y dotación (Sedes construidas, mantenidas reforzadas)</v>
      </c>
      <c r="AA169" s="166" t="s">
        <v>227</v>
      </c>
      <c r="AB169" s="167" t="str">
        <f>IFERROR(VLOOKUP(AA169,TD!$N$55:$O$70,2,0)," ")</f>
        <v>Sedes mantenidas</v>
      </c>
      <c r="AC169" s="168" t="str">
        <f>CONCATENATE(AA169,"_",AB169)</f>
        <v>016_Sedes mantenidas</v>
      </c>
      <c r="AD169" s="168" t="str">
        <f>CONCATENATE(Z169," ",AC169)</f>
        <v>08-Infraestructura física, mantenimiento y dotación (Sedes construidas, mantenidas reforzadas) 016_Sedes mantenidas</v>
      </c>
      <c r="AE169" s="167" t="str">
        <f>CONCATENATE(U169,V169,W169,X169,AA169)</f>
        <v>O23011745992024020708016</v>
      </c>
      <c r="AF169" s="167" t="str">
        <f>IFERROR(VLOOKUP(AD169,TD!$J$70:$K$93,2,0)," ")</f>
        <v>PM/0131/0108/45990160207</v>
      </c>
      <c r="AG169" s="114" t="s">
        <v>385</v>
      </c>
      <c r="AH169" s="166" t="s">
        <v>193</v>
      </c>
      <c r="AI169" s="169" t="str">
        <f>CONCATENATE(PAA[[#This Row],[Id Interno]],"-",PAA[[#This Row],[tipo de Contrato (TH talento humano - B/S bienes y/o servicios)]],"-",S169,"-",T169,"-",PAA[[#This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70" spans="2:35" ht="56" x14ac:dyDescent="0.35">
      <c r="B170" s="23">
        <v>20260126</v>
      </c>
      <c r="C170" s="97" t="s">
        <v>872</v>
      </c>
      <c r="D170" s="23" t="s">
        <v>105</v>
      </c>
      <c r="E170" s="23" t="s">
        <v>363</v>
      </c>
      <c r="F170" s="163" t="s">
        <v>144</v>
      </c>
      <c r="G170" s="164" t="s">
        <v>374</v>
      </c>
      <c r="H170" s="165">
        <v>8</v>
      </c>
      <c r="I170" s="165">
        <v>0</v>
      </c>
      <c r="J170" s="122">
        <v>64000000</v>
      </c>
      <c r="K170" s="88" t="s">
        <v>398</v>
      </c>
      <c r="L170" s="163" t="s">
        <v>153</v>
      </c>
      <c r="M170" s="166" t="s">
        <v>420</v>
      </c>
      <c r="N170" s="23" t="s">
        <v>197</v>
      </c>
      <c r="O170" s="144" t="s">
        <v>886</v>
      </c>
      <c r="P170" s="163" t="s">
        <v>348</v>
      </c>
      <c r="Q170" s="53">
        <v>80111600</v>
      </c>
      <c r="R170" s="166" t="s">
        <v>208</v>
      </c>
      <c r="S170" s="166" t="str">
        <f>MID(PAA[[#This Row],[Meta Proyecto de Inversión]],1,4)</f>
        <v>8126</v>
      </c>
      <c r="T170" s="166" t="str">
        <f>MID(PAA[[#This Row],[Meta Proyecto de Inversión]],6,2)</f>
        <v>9-</v>
      </c>
      <c r="U170" s="167" t="str">
        <f>IFERROR(VLOOKUP(N170,TD!$B$54:$F$58,2,0)," ")</f>
        <v>O230117</v>
      </c>
      <c r="V170" s="167" t="str">
        <f>IFERROR(VLOOKUP(N170,TD!$B$54:$F$58,3,0)," ")</f>
        <v>4599</v>
      </c>
      <c r="W170" s="167">
        <f>IFERROR(VLOOKUP(N170,TD!$B$54:$F$58,4,0)," ")</f>
        <v>20240207</v>
      </c>
      <c r="X170" s="166" t="s">
        <v>174</v>
      </c>
      <c r="Y170" s="167" t="str">
        <f>IFERROR(VLOOKUP(X170,TD!$J$55:$K$68,2,0)," ")</f>
        <v>Infraestructura física, mantenimiento y dotación (Sedes construidas, mantenidas reforzadas)</v>
      </c>
      <c r="Z170" s="168" t="str">
        <f>CONCATENATE(X170,"-",Y170)</f>
        <v>08-Infraestructura física, mantenimiento y dotación (Sedes construidas, mantenidas reforzadas)</v>
      </c>
      <c r="AA170" s="166" t="s">
        <v>227</v>
      </c>
      <c r="AB170" s="167" t="str">
        <f>IFERROR(VLOOKUP(AA170,TD!$N$55:$O$70,2,0)," ")</f>
        <v>Sedes mantenidas</v>
      </c>
      <c r="AC170" s="168" t="str">
        <f>CONCATENATE(AA170,"_",AB170)</f>
        <v>016_Sedes mantenidas</v>
      </c>
      <c r="AD170" s="168" t="str">
        <f>CONCATENATE(Z170," ",AC170)</f>
        <v>08-Infraestructura física, mantenimiento y dotación (Sedes construidas, mantenidas reforzadas) 016_Sedes mantenidas</v>
      </c>
      <c r="AE170" s="167" t="str">
        <f>CONCATENATE(U170,V170,W170,X170,AA170)</f>
        <v>O23011745992024020708016</v>
      </c>
      <c r="AF170" s="167" t="str">
        <f>IFERROR(VLOOKUP(AD170,TD!$J$70:$K$93,2,0)," ")</f>
        <v>PM/0131/0108/45990160207</v>
      </c>
      <c r="AG170" s="114" t="s">
        <v>385</v>
      </c>
      <c r="AH170" s="166" t="s">
        <v>193</v>
      </c>
      <c r="AI170" s="169" t="str">
        <f>CONCATENATE(PAA[[#This Row],[Id Interno]],"-",PAA[[#This Row],[tipo de Contrato (TH talento humano - B/S bienes y/o servicios)]],"-",S170,"-",T170,"-",PAA[[#This Row],[Objeto de la contratación]])</f>
        <v>20260126-TH-8126-9--Prestar servicios profesionales de carácter jurídico para apoyar y fortalecer de manera integral las actividades propias de la Oficina Jurídica</v>
      </c>
    </row>
    <row r="171" spans="2:35" ht="56" x14ac:dyDescent="0.35">
      <c r="B171" s="23">
        <v>20260127</v>
      </c>
      <c r="C171" s="97" t="s">
        <v>419</v>
      </c>
      <c r="D171" s="23" t="s">
        <v>105</v>
      </c>
      <c r="E171" s="23" t="s">
        <v>363</v>
      </c>
      <c r="F171" s="163" t="s">
        <v>144</v>
      </c>
      <c r="G171" s="164" t="s">
        <v>374</v>
      </c>
      <c r="H171" s="165">
        <v>8</v>
      </c>
      <c r="I171" s="165">
        <v>0</v>
      </c>
      <c r="J171" s="122">
        <v>52000000</v>
      </c>
      <c r="K171" s="88" t="s">
        <v>398</v>
      </c>
      <c r="L171" s="163" t="s">
        <v>153</v>
      </c>
      <c r="M171" s="166" t="s">
        <v>420</v>
      </c>
      <c r="N171" s="23" t="s">
        <v>197</v>
      </c>
      <c r="O171" s="144" t="s">
        <v>886</v>
      </c>
      <c r="P171" s="163" t="s">
        <v>348</v>
      </c>
      <c r="Q171" s="53">
        <v>80111600</v>
      </c>
      <c r="R171" s="166" t="s">
        <v>208</v>
      </c>
      <c r="S171" s="166" t="str">
        <f>MID(PAA[[#This Row],[Meta Proyecto de Inversión]],1,4)</f>
        <v>8126</v>
      </c>
      <c r="T171" s="166" t="str">
        <f>MID(PAA[[#This Row],[Meta Proyecto de Inversión]],6,2)</f>
        <v>9-</v>
      </c>
      <c r="U171" s="167" t="str">
        <f>IFERROR(VLOOKUP(N171,TD!$B$54:$F$58,2,0)," ")</f>
        <v>O230117</v>
      </c>
      <c r="V171" s="167" t="str">
        <f>IFERROR(VLOOKUP(N171,TD!$B$54:$F$58,3,0)," ")</f>
        <v>4599</v>
      </c>
      <c r="W171" s="167">
        <f>IFERROR(VLOOKUP(N171,TD!$B$54:$F$58,4,0)," ")</f>
        <v>20240207</v>
      </c>
      <c r="X171" s="166" t="s">
        <v>174</v>
      </c>
      <c r="Y171" s="167" t="str">
        <f>IFERROR(VLOOKUP(X171,TD!$J$55:$K$68,2,0)," ")</f>
        <v>Infraestructura física, mantenimiento y dotación (Sedes construidas, mantenidas reforzadas)</v>
      </c>
      <c r="Z171" s="168" t="str">
        <f>CONCATENATE(X171,"-",Y171)</f>
        <v>08-Infraestructura física, mantenimiento y dotación (Sedes construidas, mantenidas reforzadas)</v>
      </c>
      <c r="AA171" s="166" t="s">
        <v>227</v>
      </c>
      <c r="AB171" s="167" t="str">
        <f>IFERROR(VLOOKUP(AA171,TD!$N$55:$O$70,2,0)," ")</f>
        <v>Sedes mantenidas</v>
      </c>
      <c r="AC171" s="168" t="str">
        <f>CONCATENATE(AA171,"_",AB171)</f>
        <v>016_Sedes mantenidas</v>
      </c>
      <c r="AD171" s="168" t="str">
        <f>CONCATENATE(Z171," ",AC171)</f>
        <v>08-Infraestructura física, mantenimiento y dotación (Sedes construidas, mantenidas reforzadas) 016_Sedes mantenidas</v>
      </c>
      <c r="AE171" s="167" t="str">
        <f>CONCATENATE(U171,V171,W171,X171,AA171)</f>
        <v>O23011745992024020708016</v>
      </c>
      <c r="AF171" s="167" t="str">
        <f>IFERROR(VLOOKUP(AD171,TD!$J$70:$K$93,2,0)," ")</f>
        <v>PM/0131/0108/45990160207</v>
      </c>
      <c r="AG171" s="114" t="s">
        <v>385</v>
      </c>
      <c r="AH171" s="166" t="s">
        <v>193</v>
      </c>
      <c r="AI171" s="169" t="str">
        <f>CONCATENATE(PAA[[#This Row],[Id Interno]],"-",PAA[[#This Row],[tipo de Contrato (TH talento humano - B/S bienes y/o servicios)]],"-",S171,"-",T171,"-",PAA[[#This Row],[Objeto de la contratación]])</f>
        <v>20260127-TH-8126-9--Prestar los servicios profesionales jurídicos para apoyar las actuaciones procesales y procedimentales de la Oficina Jurídica</v>
      </c>
    </row>
    <row r="172" spans="2:35" ht="42" x14ac:dyDescent="0.35">
      <c r="B172" s="23">
        <v>20260128</v>
      </c>
      <c r="C172" s="97" t="s">
        <v>587</v>
      </c>
      <c r="D172" s="23" t="s">
        <v>105</v>
      </c>
      <c r="E172" s="23" t="s">
        <v>363</v>
      </c>
      <c r="F172" s="163" t="s">
        <v>144</v>
      </c>
      <c r="G172" s="164" t="s">
        <v>373</v>
      </c>
      <c r="H172" s="165">
        <v>8</v>
      </c>
      <c r="I172" s="165">
        <v>0</v>
      </c>
      <c r="J172" s="122">
        <v>64000000</v>
      </c>
      <c r="K172" s="88" t="s">
        <v>398</v>
      </c>
      <c r="L172" s="163" t="s">
        <v>154</v>
      </c>
      <c r="M172" s="166" t="s">
        <v>438</v>
      </c>
      <c r="N172" s="23" t="s">
        <v>198</v>
      </c>
      <c r="O172" s="144" t="s">
        <v>887</v>
      </c>
      <c r="P172" s="163" t="s">
        <v>348</v>
      </c>
      <c r="Q172" s="53">
        <v>80111600</v>
      </c>
      <c r="R172" s="166" t="s">
        <v>218</v>
      </c>
      <c r="S172" s="166" t="str">
        <f>MID(PAA[[#This Row],[Meta Proyecto de Inversión]],1,4)</f>
        <v>8173</v>
      </c>
      <c r="T172" s="166" t="str">
        <f>MID(PAA[[#This Row],[Meta Proyecto de Inversión]],6,2)</f>
        <v>9-</v>
      </c>
      <c r="U172" s="167" t="str">
        <f>IFERROR(VLOOKUP(N172,TD!$B$54:$F$58,2,0)," ")</f>
        <v>O230117</v>
      </c>
      <c r="V172" s="167" t="str">
        <f>IFERROR(VLOOKUP(N172,TD!$B$54:$F$58,3,0)," ")</f>
        <v>4503</v>
      </c>
      <c r="W172" s="167">
        <f>IFERROR(VLOOKUP(N172,TD!$B$54:$F$58,4,0)," ")</f>
        <v>20240255</v>
      </c>
      <c r="X172" s="166" t="s">
        <v>172</v>
      </c>
      <c r="Y172" s="167" t="str">
        <f>IFERROR(VLOOKUP(X172,TD!$J$55:$K$68,2,0)," ")</f>
        <v>Servicio de formación en gestión del riesgo de incendios para el personal UAECOB</v>
      </c>
      <c r="Z172" s="168" t="str">
        <f>CONCATENATE(X172,"-",Y172)</f>
        <v>07-Servicio de formación en gestión del riesgo de incendios para el personal UAECOB</v>
      </c>
      <c r="AA172" s="166" t="s">
        <v>222</v>
      </c>
      <c r="AB172" s="167" t="str">
        <f>IFERROR(VLOOKUP(AA172,TD!$N$55:$O$70,2,0)," ")</f>
        <v>Servicio de educación informal</v>
      </c>
      <c r="AC172" s="168" t="str">
        <f>CONCATENATE(AA172,"_",AB172)</f>
        <v>002_Servicio de educación informal</v>
      </c>
      <c r="AD172" s="168" t="str">
        <f>CONCATENATE(Z172," ",AC172)</f>
        <v>07-Servicio de formación en gestión del riesgo de incendios para el personal UAECOB 002_Servicio de educación informal</v>
      </c>
      <c r="AE172" s="167" t="str">
        <f>CONCATENATE(U172,V172,W172,X172,AA172)</f>
        <v>O23011745032024025507002</v>
      </c>
      <c r="AF172" s="167" t="str">
        <f>IFERROR(VLOOKUP(AD172,TD!$J$70:$K$93,2,0)," ")</f>
        <v>PM/0131/0107/45030020255</v>
      </c>
      <c r="AG172" s="114" t="s">
        <v>385</v>
      </c>
      <c r="AH172" s="166" t="s">
        <v>193</v>
      </c>
      <c r="AI172" s="169" t="str">
        <f>CONCATENATE(PAA[[#This Row],[Id Interno]],"-",PAA[[#This Row],[tipo de Contrato (TH talento humano - B/S bienes y/o servicios)]],"-",S172,"-",T172,"-",PAA[[#This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73" spans="2:35" ht="42" x14ac:dyDescent="0.35">
      <c r="B173" s="23">
        <v>20260129</v>
      </c>
      <c r="C173" s="97" t="s">
        <v>588</v>
      </c>
      <c r="D173" s="23" t="s">
        <v>105</v>
      </c>
      <c r="E173" s="23" t="s">
        <v>363</v>
      </c>
      <c r="F173" s="163" t="s">
        <v>145</v>
      </c>
      <c r="G173" s="164" t="s">
        <v>373</v>
      </c>
      <c r="H173" s="165">
        <v>7</v>
      </c>
      <c r="I173" s="165">
        <v>0</v>
      </c>
      <c r="J173" s="122">
        <v>26600000</v>
      </c>
      <c r="K173" s="88" t="s">
        <v>398</v>
      </c>
      <c r="L173" s="163" t="s">
        <v>154</v>
      </c>
      <c r="M173" s="166" t="s">
        <v>438</v>
      </c>
      <c r="N173" s="23" t="s">
        <v>197</v>
      </c>
      <c r="O173" s="144" t="s">
        <v>886</v>
      </c>
      <c r="P173" s="163" t="s">
        <v>348</v>
      </c>
      <c r="Q173" s="53">
        <v>80111600</v>
      </c>
      <c r="R173" s="166" t="s">
        <v>208</v>
      </c>
      <c r="S173" s="166" t="str">
        <f>MID(PAA[[#This Row],[Meta Proyecto de Inversión]],1,4)</f>
        <v>8126</v>
      </c>
      <c r="T173" s="166" t="str">
        <f>MID(PAA[[#This Row],[Meta Proyecto de Inversión]],6,2)</f>
        <v>9-</v>
      </c>
      <c r="U173" s="167" t="str">
        <f>IFERROR(VLOOKUP(N173,TD!$B$54:$F$58,2,0)," ")</f>
        <v>O230117</v>
      </c>
      <c r="V173" s="167" t="str">
        <f>IFERROR(VLOOKUP(N173,TD!$B$54:$F$58,3,0)," ")</f>
        <v>4599</v>
      </c>
      <c r="W173" s="167">
        <f>IFERROR(VLOOKUP(N173,TD!$B$54:$F$58,4,0)," ")</f>
        <v>20240207</v>
      </c>
      <c r="X173" s="166" t="s">
        <v>174</v>
      </c>
      <c r="Y173" s="167" t="str">
        <f>IFERROR(VLOOKUP(X173,TD!$J$55:$K$68,2,0)," ")</f>
        <v>Infraestructura física, mantenimiento y dotación (Sedes construidas, mantenidas reforzadas)</v>
      </c>
      <c r="Z173" s="168" t="str">
        <f>CONCATENATE(X173,"-",Y173)</f>
        <v>08-Infraestructura física, mantenimiento y dotación (Sedes construidas, mantenidas reforzadas)</v>
      </c>
      <c r="AA173" s="166" t="s">
        <v>227</v>
      </c>
      <c r="AB173" s="167" t="str">
        <f>IFERROR(VLOOKUP(AA173,TD!$N$55:$O$70,2,0)," ")</f>
        <v>Sedes mantenidas</v>
      </c>
      <c r="AC173" s="168" t="str">
        <f>CONCATENATE(AA173,"_",AB173)</f>
        <v>016_Sedes mantenidas</v>
      </c>
      <c r="AD173" s="168" t="str">
        <f>CONCATENATE(Z173," ",AC173)</f>
        <v>08-Infraestructura física, mantenimiento y dotación (Sedes construidas, mantenidas reforzadas) 016_Sedes mantenidas</v>
      </c>
      <c r="AE173" s="167" t="str">
        <f>CONCATENATE(U173,V173,W173,X173,AA173)</f>
        <v>O23011745992024020708016</v>
      </c>
      <c r="AF173" s="167" t="str">
        <f>IFERROR(VLOOKUP(AD173,TD!$J$70:$K$93,2,0)," ")</f>
        <v>PM/0131/0108/45990160207</v>
      </c>
      <c r="AG173" s="114" t="s">
        <v>385</v>
      </c>
      <c r="AH173" s="166" t="s">
        <v>193</v>
      </c>
      <c r="AI173" s="169" t="str">
        <f>CONCATENATE(PAA[[#This Row],[Id Interno]],"-",PAA[[#This Row],[tipo de Contrato (TH talento humano - B/S bienes y/o servicios)]],"-",S173,"-",T173,"-",PAA[[#This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74" spans="2:35" ht="98" x14ac:dyDescent="0.35">
      <c r="B174" s="23">
        <v>20260130</v>
      </c>
      <c r="C174" s="97" t="s">
        <v>589</v>
      </c>
      <c r="D174" s="23" t="s">
        <v>105</v>
      </c>
      <c r="E174" s="23" t="s">
        <v>363</v>
      </c>
      <c r="F174" s="163" t="s">
        <v>145</v>
      </c>
      <c r="G174" s="164" t="s">
        <v>373</v>
      </c>
      <c r="H174" s="165">
        <v>11</v>
      </c>
      <c r="I174" s="165">
        <v>0</v>
      </c>
      <c r="J174" s="122">
        <v>46200000</v>
      </c>
      <c r="K174" s="88" t="s">
        <v>398</v>
      </c>
      <c r="L174" s="163" t="s">
        <v>154</v>
      </c>
      <c r="M174" s="166" t="s">
        <v>438</v>
      </c>
      <c r="N174" s="23" t="s">
        <v>197</v>
      </c>
      <c r="O174" s="144" t="s">
        <v>886</v>
      </c>
      <c r="P174" s="163" t="s">
        <v>348</v>
      </c>
      <c r="Q174" s="53">
        <v>80111600</v>
      </c>
      <c r="R174" s="166" t="s">
        <v>208</v>
      </c>
      <c r="S174" s="166" t="str">
        <f>MID(PAA[[#This Row],[Meta Proyecto de Inversión]],1,4)</f>
        <v>8126</v>
      </c>
      <c r="T174" s="166" t="str">
        <f>MID(PAA[[#This Row],[Meta Proyecto de Inversión]],6,2)</f>
        <v>9-</v>
      </c>
      <c r="U174" s="167" t="str">
        <f>IFERROR(VLOOKUP(N174,TD!$B$54:$F$58,2,0)," ")</f>
        <v>O230117</v>
      </c>
      <c r="V174" s="167" t="str">
        <f>IFERROR(VLOOKUP(N174,TD!$B$54:$F$58,3,0)," ")</f>
        <v>4599</v>
      </c>
      <c r="W174" s="167">
        <f>IFERROR(VLOOKUP(N174,TD!$B$54:$F$58,4,0)," ")</f>
        <v>20240207</v>
      </c>
      <c r="X174" s="166" t="s">
        <v>174</v>
      </c>
      <c r="Y174" s="167" t="str">
        <f>IFERROR(VLOOKUP(X174,TD!$J$55:$K$68,2,0)," ")</f>
        <v>Infraestructura física, mantenimiento y dotación (Sedes construidas, mantenidas reforzadas)</v>
      </c>
      <c r="Z174" s="168" t="str">
        <f>CONCATENATE(X174,"-",Y174)</f>
        <v>08-Infraestructura física, mantenimiento y dotación (Sedes construidas, mantenidas reforzadas)</v>
      </c>
      <c r="AA174" s="166" t="s">
        <v>227</v>
      </c>
      <c r="AB174" s="167" t="str">
        <f>IFERROR(VLOOKUP(AA174,TD!$N$55:$O$70,2,0)," ")</f>
        <v>Sedes mantenidas</v>
      </c>
      <c r="AC174" s="168" t="str">
        <f>CONCATENATE(AA174,"_",AB174)</f>
        <v>016_Sedes mantenidas</v>
      </c>
      <c r="AD174" s="168" t="str">
        <f>CONCATENATE(Z174," ",AC174)</f>
        <v>08-Infraestructura física, mantenimiento y dotación (Sedes construidas, mantenidas reforzadas) 016_Sedes mantenidas</v>
      </c>
      <c r="AE174" s="167" t="str">
        <f>CONCATENATE(U174,V174,W174,X174,AA174)</f>
        <v>O23011745992024020708016</v>
      </c>
      <c r="AF174" s="167" t="str">
        <f>IFERROR(VLOOKUP(AD174,TD!$J$70:$K$93,2,0)," ")</f>
        <v>PM/0131/0108/45990160207</v>
      </c>
      <c r="AG174" s="114" t="s">
        <v>385</v>
      </c>
      <c r="AH174" s="166" t="s">
        <v>193</v>
      </c>
      <c r="AI174" s="169" t="str">
        <f>CONCATENATE(PAA[[#This Row],[Id Interno]],"-",PAA[[#This Row],[tipo de Contrato (TH talento humano - B/S bienes y/o servicios)]],"-",S174,"-",T174,"-",PAA[[#This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75" spans="2:35" ht="84" x14ac:dyDescent="0.35">
      <c r="B175" s="23">
        <v>20260131</v>
      </c>
      <c r="C175" s="97" t="s">
        <v>588</v>
      </c>
      <c r="D175" s="23" t="s">
        <v>105</v>
      </c>
      <c r="E175" s="23" t="s">
        <v>363</v>
      </c>
      <c r="F175" s="163" t="s">
        <v>145</v>
      </c>
      <c r="G175" s="164" t="s">
        <v>373</v>
      </c>
      <c r="H175" s="165">
        <v>7</v>
      </c>
      <c r="I175" s="165">
        <v>0</v>
      </c>
      <c r="J175" s="122">
        <v>26600000</v>
      </c>
      <c r="K175" s="88" t="s">
        <v>398</v>
      </c>
      <c r="L175" s="163" t="s">
        <v>154</v>
      </c>
      <c r="M175" s="166" t="s">
        <v>438</v>
      </c>
      <c r="N175" s="23" t="s">
        <v>197</v>
      </c>
      <c r="O175" s="144" t="s">
        <v>886</v>
      </c>
      <c r="P175" s="163" t="s">
        <v>348</v>
      </c>
      <c r="Q175" s="53">
        <v>80111600</v>
      </c>
      <c r="R175" s="166" t="s">
        <v>208</v>
      </c>
      <c r="S175" s="166" t="str">
        <f>MID(PAA[[#This Row],[Meta Proyecto de Inversión]],1,4)</f>
        <v>8126</v>
      </c>
      <c r="T175" s="166" t="str">
        <f>MID(PAA[[#This Row],[Meta Proyecto de Inversión]],6,2)</f>
        <v>9-</v>
      </c>
      <c r="U175" s="167" t="str">
        <f>IFERROR(VLOOKUP(N175,TD!$B$54:$F$58,2,0)," ")</f>
        <v>O230117</v>
      </c>
      <c r="V175" s="167" t="str">
        <f>IFERROR(VLOOKUP(N175,TD!$B$54:$F$58,3,0)," ")</f>
        <v>4599</v>
      </c>
      <c r="W175" s="167">
        <f>IFERROR(VLOOKUP(N175,TD!$B$54:$F$58,4,0)," ")</f>
        <v>20240207</v>
      </c>
      <c r="X175" s="166" t="s">
        <v>174</v>
      </c>
      <c r="Y175" s="167" t="str">
        <f>IFERROR(VLOOKUP(X175,TD!$J$55:$K$68,2,0)," ")</f>
        <v>Infraestructura física, mantenimiento y dotación (Sedes construidas, mantenidas reforzadas)</v>
      </c>
      <c r="Z175" s="168" t="str">
        <f>CONCATENATE(X175,"-",Y175)</f>
        <v>08-Infraestructura física, mantenimiento y dotación (Sedes construidas, mantenidas reforzadas)</v>
      </c>
      <c r="AA175" s="166" t="s">
        <v>227</v>
      </c>
      <c r="AB175" s="167" t="str">
        <f>IFERROR(VLOOKUP(AA175,TD!$N$55:$O$70,2,0)," ")</f>
        <v>Sedes mantenidas</v>
      </c>
      <c r="AC175" s="168" t="str">
        <f>CONCATENATE(AA175,"_",AB175)</f>
        <v>016_Sedes mantenidas</v>
      </c>
      <c r="AD175" s="168" t="str">
        <f>CONCATENATE(Z175," ",AC175)</f>
        <v>08-Infraestructura física, mantenimiento y dotación (Sedes construidas, mantenidas reforzadas) 016_Sedes mantenidas</v>
      </c>
      <c r="AE175" s="167" t="str">
        <f>CONCATENATE(U175,V175,W175,X175,AA175)</f>
        <v>O23011745992024020708016</v>
      </c>
      <c r="AF175" s="167" t="str">
        <f>IFERROR(VLOOKUP(AD175,TD!$J$70:$K$93,2,0)," ")</f>
        <v>PM/0131/0108/45990160207</v>
      </c>
      <c r="AG175" s="114" t="s">
        <v>385</v>
      </c>
      <c r="AH175" s="166" t="s">
        <v>193</v>
      </c>
      <c r="AI175" s="169" t="str">
        <f>CONCATENATE(PAA[[#This Row],[Id Interno]],"-",PAA[[#This Row],[tipo de Contrato (TH talento humano - B/S bienes y/o servicios)]],"-",S175,"-",T175,"-",PAA[[#This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76" spans="2:35" ht="84" x14ac:dyDescent="0.35">
      <c r="B176" s="23">
        <v>20260132</v>
      </c>
      <c r="C176" s="97" t="s">
        <v>588</v>
      </c>
      <c r="D176" s="23" t="s">
        <v>105</v>
      </c>
      <c r="E176" s="23" t="s">
        <v>363</v>
      </c>
      <c r="F176" s="163" t="s">
        <v>145</v>
      </c>
      <c r="G176" s="164" t="s">
        <v>373</v>
      </c>
      <c r="H176" s="165">
        <v>11</v>
      </c>
      <c r="I176" s="165">
        <v>0</v>
      </c>
      <c r="J176" s="122">
        <v>41800000</v>
      </c>
      <c r="K176" s="88" t="s">
        <v>398</v>
      </c>
      <c r="L176" s="163" t="s">
        <v>154</v>
      </c>
      <c r="M176" s="166" t="s">
        <v>438</v>
      </c>
      <c r="N176" s="23" t="s">
        <v>197</v>
      </c>
      <c r="O176" s="144" t="s">
        <v>886</v>
      </c>
      <c r="P176" s="163" t="s">
        <v>348</v>
      </c>
      <c r="Q176" s="53">
        <v>80111600</v>
      </c>
      <c r="R176" s="166" t="s">
        <v>208</v>
      </c>
      <c r="S176" s="166" t="str">
        <f>MID(PAA[[#This Row],[Meta Proyecto de Inversión]],1,4)</f>
        <v>8126</v>
      </c>
      <c r="T176" s="166" t="str">
        <f>MID(PAA[[#This Row],[Meta Proyecto de Inversión]],6,2)</f>
        <v>9-</v>
      </c>
      <c r="U176" s="167" t="str">
        <f>IFERROR(VLOOKUP(N176,TD!$B$54:$F$58,2,0)," ")</f>
        <v>O230117</v>
      </c>
      <c r="V176" s="167" t="str">
        <f>IFERROR(VLOOKUP(N176,TD!$B$54:$F$58,3,0)," ")</f>
        <v>4599</v>
      </c>
      <c r="W176" s="167">
        <f>IFERROR(VLOOKUP(N176,TD!$B$54:$F$58,4,0)," ")</f>
        <v>20240207</v>
      </c>
      <c r="X176" s="166" t="s">
        <v>174</v>
      </c>
      <c r="Y176" s="167" t="str">
        <f>IFERROR(VLOOKUP(X176,TD!$J$55:$K$68,2,0)," ")</f>
        <v>Infraestructura física, mantenimiento y dotación (Sedes construidas, mantenidas reforzadas)</v>
      </c>
      <c r="Z176" s="168" t="str">
        <f>CONCATENATE(X176,"-",Y176)</f>
        <v>08-Infraestructura física, mantenimiento y dotación (Sedes construidas, mantenidas reforzadas)</v>
      </c>
      <c r="AA176" s="166" t="s">
        <v>227</v>
      </c>
      <c r="AB176" s="167" t="str">
        <f>IFERROR(VLOOKUP(AA176,TD!$N$55:$O$70,2,0)," ")</f>
        <v>Sedes mantenidas</v>
      </c>
      <c r="AC176" s="168" t="str">
        <f>CONCATENATE(AA176,"_",AB176)</f>
        <v>016_Sedes mantenidas</v>
      </c>
      <c r="AD176" s="168" t="str">
        <f>CONCATENATE(Z176," ",AC176)</f>
        <v>08-Infraestructura física, mantenimiento y dotación (Sedes construidas, mantenidas reforzadas) 016_Sedes mantenidas</v>
      </c>
      <c r="AE176" s="167" t="str">
        <f>CONCATENATE(U176,V176,W176,X176,AA176)</f>
        <v>O23011745992024020708016</v>
      </c>
      <c r="AF176" s="167" t="str">
        <f>IFERROR(VLOOKUP(AD176,TD!$J$70:$K$93,2,0)," ")</f>
        <v>PM/0131/0108/45990160207</v>
      </c>
      <c r="AG176" s="114" t="s">
        <v>385</v>
      </c>
      <c r="AH176" s="166" t="s">
        <v>193</v>
      </c>
      <c r="AI176" s="169" t="str">
        <f>CONCATENATE(PAA[[#This Row],[Id Interno]],"-",PAA[[#This Row],[tipo de Contrato (TH talento humano - B/S bienes y/o servicios)]],"-",S176,"-",T176,"-",PAA[[#This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77" spans="2:35" ht="84" x14ac:dyDescent="0.35">
      <c r="B177" s="23">
        <v>20260133</v>
      </c>
      <c r="C177" s="97" t="s">
        <v>590</v>
      </c>
      <c r="D177" s="23" t="s">
        <v>105</v>
      </c>
      <c r="E177" s="23" t="s">
        <v>363</v>
      </c>
      <c r="F177" s="163" t="s">
        <v>145</v>
      </c>
      <c r="G177" s="164" t="s">
        <v>373</v>
      </c>
      <c r="H177" s="165">
        <v>7</v>
      </c>
      <c r="I177" s="165">
        <v>0</v>
      </c>
      <c r="J177" s="122">
        <v>28700000</v>
      </c>
      <c r="K177" s="88" t="s">
        <v>398</v>
      </c>
      <c r="L177" s="163" t="s">
        <v>154</v>
      </c>
      <c r="M177" s="166" t="s">
        <v>438</v>
      </c>
      <c r="N177" s="23" t="s">
        <v>197</v>
      </c>
      <c r="O177" s="144" t="s">
        <v>886</v>
      </c>
      <c r="P177" s="163" t="s">
        <v>348</v>
      </c>
      <c r="Q177" s="53">
        <v>80111600</v>
      </c>
      <c r="R177" s="166" t="s">
        <v>208</v>
      </c>
      <c r="S177" s="166" t="str">
        <f>MID(PAA[[#This Row],[Meta Proyecto de Inversión]],1,4)</f>
        <v>8126</v>
      </c>
      <c r="T177" s="166" t="str">
        <f>MID(PAA[[#This Row],[Meta Proyecto de Inversión]],6,2)</f>
        <v>9-</v>
      </c>
      <c r="U177" s="167" t="str">
        <f>IFERROR(VLOOKUP(N177,TD!$B$54:$F$58,2,0)," ")</f>
        <v>O230117</v>
      </c>
      <c r="V177" s="167" t="str">
        <f>IFERROR(VLOOKUP(N177,TD!$B$54:$F$58,3,0)," ")</f>
        <v>4599</v>
      </c>
      <c r="W177" s="167">
        <f>IFERROR(VLOOKUP(N177,TD!$B$54:$F$58,4,0)," ")</f>
        <v>20240207</v>
      </c>
      <c r="X177" s="166" t="s">
        <v>174</v>
      </c>
      <c r="Y177" s="167" t="str">
        <f>IFERROR(VLOOKUP(X177,TD!$J$55:$K$68,2,0)," ")</f>
        <v>Infraestructura física, mantenimiento y dotación (Sedes construidas, mantenidas reforzadas)</v>
      </c>
      <c r="Z177" s="168" t="str">
        <f>CONCATENATE(X177,"-",Y177)</f>
        <v>08-Infraestructura física, mantenimiento y dotación (Sedes construidas, mantenidas reforzadas)</v>
      </c>
      <c r="AA177" s="166" t="s">
        <v>227</v>
      </c>
      <c r="AB177" s="167" t="str">
        <f>IFERROR(VLOOKUP(AA177,TD!$N$55:$O$70,2,0)," ")</f>
        <v>Sedes mantenidas</v>
      </c>
      <c r="AC177" s="168" t="str">
        <f>CONCATENATE(AA177,"_",AB177)</f>
        <v>016_Sedes mantenidas</v>
      </c>
      <c r="AD177" s="168" t="str">
        <f>CONCATENATE(Z177," ",AC177)</f>
        <v>08-Infraestructura física, mantenimiento y dotación (Sedes construidas, mantenidas reforzadas) 016_Sedes mantenidas</v>
      </c>
      <c r="AE177" s="167" t="str">
        <f>CONCATENATE(U177,V177,W177,X177,AA177)</f>
        <v>O23011745992024020708016</v>
      </c>
      <c r="AF177" s="167" t="str">
        <f>IFERROR(VLOOKUP(AD177,TD!$J$70:$K$93,2,0)," ")</f>
        <v>PM/0131/0108/45990160207</v>
      </c>
      <c r="AG177" s="114" t="s">
        <v>385</v>
      </c>
      <c r="AH177" s="166" t="s">
        <v>193</v>
      </c>
      <c r="AI177" s="169" t="str">
        <f>CONCATENATE(PAA[[#This Row],[Id Interno]],"-",PAA[[#This Row],[tipo de Contrato (TH talento humano - B/S bienes y/o servicios)]],"-",S177,"-",T177,"-",PAA[[#This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78" spans="2:35" ht="84" x14ac:dyDescent="0.35">
      <c r="B178" s="23">
        <v>20260134</v>
      </c>
      <c r="C178" s="97" t="s">
        <v>591</v>
      </c>
      <c r="D178" s="23" t="s">
        <v>105</v>
      </c>
      <c r="E178" s="23" t="s">
        <v>363</v>
      </c>
      <c r="F178" s="163" t="s">
        <v>144</v>
      </c>
      <c r="G178" s="164" t="s">
        <v>373</v>
      </c>
      <c r="H178" s="165">
        <v>3</v>
      </c>
      <c r="I178" s="165">
        <v>15</v>
      </c>
      <c r="J178" s="122">
        <v>29400000</v>
      </c>
      <c r="K178" s="88" t="s">
        <v>398</v>
      </c>
      <c r="L178" s="163" t="s">
        <v>154</v>
      </c>
      <c r="M178" s="166" t="s">
        <v>438</v>
      </c>
      <c r="N178" s="23" t="s">
        <v>197</v>
      </c>
      <c r="O178" s="145" t="s">
        <v>886</v>
      </c>
      <c r="P178" s="163" t="s">
        <v>348</v>
      </c>
      <c r="Q178" s="53">
        <v>80111600</v>
      </c>
      <c r="R178" s="166" t="s">
        <v>208</v>
      </c>
      <c r="S178" s="166" t="str">
        <f>MID(PAA[[#This Row],[Meta Proyecto de Inversión]],1,4)</f>
        <v>8126</v>
      </c>
      <c r="T178" s="166" t="str">
        <f>MID(PAA[[#This Row],[Meta Proyecto de Inversión]],6,2)</f>
        <v>9-</v>
      </c>
      <c r="U178" s="167" t="str">
        <f>IFERROR(VLOOKUP(N178,TD!$B$54:$F$58,2,0)," ")</f>
        <v>O230117</v>
      </c>
      <c r="V178" s="167" t="str">
        <f>IFERROR(VLOOKUP(N178,TD!$B$54:$F$58,3,0)," ")</f>
        <v>4599</v>
      </c>
      <c r="W178" s="167">
        <f>IFERROR(VLOOKUP(N178,TD!$B$54:$F$58,4,0)," ")</f>
        <v>20240207</v>
      </c>
      <c r="X178" s="166" t="s">
        <v>174</v>
      </c>
      <c r="Y178" s="167" t="str">
        <f>IFERROR(VLOOKUP(X178,TD!$J$55:$K$68,2,0)," ")</f>
        <v>Infraestructura física, mantenimiento y dotación (Sedes construidas, mantenidas reforzadas)</v>
      </c>
      <c r="Z178" s="168" t="str">
        <f>CONCATENATE(X178,"-",Y178)</f>
        <v>08-Infraestructura física, mantenimiento y dotación (Sedes construidas, mantenidas reforzadas)</v>
      </c>
      <c r="AA178" s="166" t="s">
        <v>227</v>
      </c>
      <c r="AB178" s="167" t="str">
        <f>IFERROR(VLOOKUP(AA178,TD!$N$55:$O$70,2,0)," ")</f>
        <v>Sedes mantenidas</v>
      </c>
      <c r="AC178" s="168" t="str">
        <f>CONCATENATE(AA178,"_",AB178)</f>
        <v>016_Sedes mantenidas</v>
      </c>
      <c r="AD178" s="168" t="str">
        <f>CONCATENATE(Z178," ",AC178)</f>
        <v>08-Infraestructura física, mantenimiento y dotación (Sedes construidas, mantenidas reforzadas) 016_Sedes mantenidas</v>
      </c>
      <c r="AE178" s="167" t="str">
        <f>CONCATENATE(U178,V178,W178,X178,AA178)</f>
        <v>O23011745992024020708016</v>
      </c>
      <c r="AF178" s="167" t="str">
        <f>IFERROR(VLOOKUP(AD178,TD!$J$70:$K$93,2,0)," ")</f>
        <v>PM/0131/0108/45990160207</v>
      </c>
      <c r="AG178" s="114" t="s">
        <v>385</v>
      </c>
      <c r="AH178" s="166" t="s">
        <v>193</v>
      </c>
      <c r="AI178" s="169" t="str">
        <f>CONCATENATE(PAA[[#This Row],[Id Interno]],"-",PAA[[#This Row],[tipo de Contrato (TH talento humano - B/S bienes y/o servicios)]],"-",S178,"-",T178,"-",PAA[[#This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79" spans="2:35" ht="70" x14ac:dyDescent="0.35">
      <c r="B179" s="23">
        <v>20260135</v>
      </c>
      <c r="C179" s="97" t="s">
        <v>592</v>
      </c>
      <c r="D179" s="23" t="s">
        <v>105</v>
      </c>
      <c r="E179" s="23" t="s">
        <v>363</v>
      </c>
      <c r="F179" s="163" t="s">
        <v>144</v>
      </c>
      <c r="G179" s="164" t="s">
        <v>373</v>
      </c>
      <c r="H179" s="165">
        <v>5</v>
      </c>
      <c r="I179" s="165">
        <v>0</v>
      </c>
      <c r="J179" s="122">
        <v>29500000</v>
      </c>
      <c r="K179" s="88" t="s">
        <v>398</v>
      </c>
      <c r="L179" s="163" t="s">
        <v>154</v>
      </c>
      <c r="M179" s="166" t="s">
        <v>438</v>
      </c>
      <c r="N179" s="23" t="s">
        <v>197</v>
      </c>
      <c r="O179" s="144" t="s">
        <v>886</v>
      </c>
      <c r="P179" s="163" t="s">
        <v>348</v>
      </c>
      <c r="Q179" s="53">
        <v>80111600</v>
      </c>
      <c r="R179" s="166" t="s">
        <v>208</v>
      </c>
      <c r="S179" s="166" t="str">
        <f>MID(PAA[[#This Row],[Meta Proyecto de Inversión]],1,4)</f>
        <v>8126</v>
      </c>
      <c r="T179" s="166" t="str">
        <f>MID(PAA[[#This Row],[Meta Proyecto de Inversión]],6,2)</f>
        <v>9-</v>
      </c>
      <c r="U179" s="167" t="str">
        <f>IFERROR(VLOOKUP(N179,TD!$B$54:$F$58,2,0)," ")</f>
        <v>O230117</v>
      </c>
      <c r="V179" s="167" t="str">
        <f>IFERROR(VLOOKUP(N179,TD!$B$54:$F$58,3,0)," ")</f>
        <v>4599</v>
      </c>
      <c r="W179" s="167">
        <f>IFERROR(VLOOKUP(N179,TD!$B$54:$F$58,4,0)," ")</f>
        <v>20240207</v>
      </c>
      <c r="X179" s="166" t="s">
        <v>174</v>
      </c>
      <c r="Y179" s="167" t="str">
        <f>IFERROR(VLOOKUP(X179,TD!$J$55:$K$68,2,0)," ")</f>
        <v>Infraestructura física, mantenimiento y dotación (Sedes construidas, mantenidas reforzadas)</v>
      </c>
      <c r="Z179" s="168" t="str">
        <f>CONCATENATE(X179,"-",Y179)</f>
        <v>08-Infraestructura física, mantenimiento y dotación (Sedes construidas, mantenidas reforzadas)</v>
      </c>
      <c r="AA179" s="166" t="s">
        <v>227</v>
      </c>
      <c r="AB179" s="167" t="str">
        <f>IFERROR(VLOOKUP(AA179,TD!$N$55:$O$70,2,0)," ")</f>
        <v>Sedes mantenidas</v>
      </c>
      <c r="AC179" s="168" t="str">
        <f>CONCATENATE(AA179,"_",AB179)</f>
        <v>016_Sedes mantenidas</v>
      </c>
      <c r="AD179" s="168" t="str">
        <f>CONCATENATE(Z179," ",AC179)</f>
        <v>08-Infraestructura física, mantenimiento y dotación (Sedes construidas, mantenidas reforzadas) 016_Sedes mantenidas</v>
      </c>
      <c r="AE179" s="167" t="str">
        <f>CONCATENATE(U179,V179,W179,X179,AA179)</f>
        <v>O23011745992024020708016</v>
      </c>
      <c r="AF179" s="167" t="str">
        <f>IFERROR(VLOOKUP(AD179,TD!$J$70:$K$93,2,0)," ")</f>
        <v>PM/0131/0108/45990160207</v>
      </c>
      <c r="AG179" s="114" t="s">
        <v>385</v>
      </c>
      <c r="AH179" s="166" t="s">
        <v>193</v>
      </c>
      <c r="AI179" s="169" t="str">
        <f>CONCATENATE(PAA[[#This Row],[Id Interno]],"-",PAA[[#This Row],[tipo de Contrato (TH talento humano - B/S bienes y/o servicios)]],"-",S179,"-",T179,"-",PAA[[#This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80" spans="2:35" ht="84" x14ac:dyDescent="0.35">
      <c r="B180" s="23">
        <v>20260136</v>
      </c>
      <c r="C180" s="97" t="s">
        <v>439</v>
      </c>
      <c r="D180" s="23" t="s">
        <v>105</v>
      </c>
      <c r="E180" s="23" t="s">
        <v>363</v>
      </c>
      <c r="F180" s="163" t="s">
        <v>144</v>
      </c>
      <c r="G180" s="164" t="s">
        <v>373</v>
      </c>
      <c r="H180" s="165">
        <v>10</v>
      </c>
      <c r="I180" s="165">
        <v>0</v>
      </c>
      <c r="J180" s="122">
        <v>67000000</v>
      </c>
      <c r="K180" s="88" t="s">
        <v>398</v>
      </c>
      <c r="L180" s="163" t="s">
        <v>154</v>
      </c>
      <c r="M180" s="166" t="s">
        <v>438</v>
      </c>
      <c r="N180" s="23" t="s">
        <v>197</v>
      </c>
      <c r="O180" s="144" t="s">
        <v>886</v>
      </c>
      <c r="P180" s="163" t="s">
        <v>348</v>
      </c>
      <c r="Q180" s="53">
        <v>80111600</v>
      </c>
      <c r="R180" s="166" t="s">
        <v>208</v>
      </c>
      <c r="S180" s="166" t="str">
        <f>MID(PAA[[#This Row],[Meta Proyecto de Inversión]],1,4)</f>
        <v>8126</v>
      </c>
      <c r="T180" s="166" t="str">
        <f>MID(PAA[[#This Row],[Meta Proyecto de Inversión]],6,2)</f>
        <v>9-</v>
      </c>
      <c r="U180" s="167" t="str">
        <f>IFERROR(VLOOKUP(N180,TD!$B$54:$F$58,2,0)," ")</f>
        <v>O230117</v>
      </c>
      <c r="V180" s="167" t="str">
        <f>IFERROR(VLOOKUP(N180,TD!$B$54:$F$58,3,0)," ")</f>
        <v>4599</v>
      </c>
      <c r="W180" s="167">
        <f>IFERROR(VLOOKUP(N180,TD!$B$54:$F$58,4,0)," ")</f>
        <v>20240207</v>
      </c>
      <c r="X180" s="166" t="s">
        <v>174</v>
      </c>
      <c r="Y180" s="167" t="str">
        <f>IFERROR(VLOOKUP(X180,TD!$J$55:$K$68,2,0)," ")</f>
        <v>Infraestructura física, mantenimiento y dotación (Sedes construidas, mantenidas reforzadas)</v>
      </c>
      <c r="Z180" s="168" t="str">
        <f>CONCATENATE(X180,"-",Y180)</f>
        <v>08-Infraestructura física, mantenimiento y dotación (Sedes construidas, mantenidas reforzadas)</v>
      </c>
      <c r="AA180" s="166" t="s">
        <v>227</v>
      </c>
      <c r="AB180" s="167" t="str">
        <f>IFERROR(VLOOKUP(AA180,TD!$N$55:$O$70,2,0)," ")</f>
        <v>Sedes mantenidas</v>
      </c>
      <c r="AC180" s="168" t="str">
        <f>CONCATENATE(AA180,"_",AB180)</f>
        <v>016_Sedes mantenidas</v>
      </c>
      <c r="AD180" s="168" t="str">
        <f>CONCATENATE(Z180," ",AC180)</f>
        <v>08-Infraestructura física, mantenimiento y dotación (Sedes construidas, mantenidas reforzadas) 016_Sedes mantenidas</v>
      </c>
      <c r="AE180" s="167" t="str">
        <f>CONCATENATE(U180,V180,W180,X180,AA180)</f>
        <v>O23011745992024020708016</v>
      </c>
      <c r="AF180" s="167" t="str">
        <f>IFERROR(VLOOKUP(AD180,TD!$J$70:$K$93,2,0)," ")</f>
        <v>PM/0131/0108/45990160207</v>
      </c>
      <c r="AG180" s="114" t="s">
        <v>385</v>
      </c>
      <c r="AH180" s="166" t="s">
        <v>193</v>
      </c>
      <c r="AI180" s="169" t="str">
        <f>CONCATENATE(PAA[[#This Row],[Id Interno]],"-",PAA[[#This Row],[tipo de Contrato (TH talento humano - B/S bienes y/o servicios)]],"-",S180,"-",T180,"-",PAA[[#This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81" spans="2:35" ht="70" x14ac:dyDescent="0.35">
      <c r="B181" s="23">
        <v>20260137</v>
      </c>
      <c r="C181" s="97" t="s">
        <v>440</v>
      </c>
      <c r="D181" s="23" t="s">
        <v>105</v>
      </c>
      <c r="E181" s="23" t="s">
        <v>363</v>
      </c>
      <c r="F181" s="163" t="s">
        <v>145</v>
      </c>
      <c r="G181" s="164" t="s">
        <v>373</v>
      </c>
      <c r="H181" s="165">
        <v>10</v>
      </c>
      <c r="I181" s="165">
        <v>0</v>
      </c>
      <c r="J181" s="122">
        <v>36000000</v>
      </c>
      <c r="K181" s="88" t="s">
        <v>398</v>
      </c>
      <c r="L181" s="163" t="s">
        <v>154</v>
      </c>
      <c r="M181" s="166" t="s">
        <v>438</v>
      </c>
      <c r="N181" s="23" t="s">
        <v>197</v>
      </c>
      <c r="O181" s="144" t="s">
        <v>886</v>
      </c>
      <c r="P181" s="163" t="s">
        <v>348</v>
      </c>
      <c r="Q181" s="53">
        <v>80111600</v>
      </c>
      <c r="R181" s="166" t="s">
        <v>208</v>
      </c>
      <c r="S181" s="166" t="str">
        <f>MID(PAA[[#This Row],[Meta Proyecto de Inversión]],1,4)</f>
        <v>8126</v>
      </c>
      <c r="T181" s="166" t="str">
        <f>MID(PAA[[#This Row],[Meta Proyecto de Inversión]],6,2)</f>
        <v>9-</v>
      </c>
      <c r="U181" s="167" t="str">
        <f>IFERROR(VLOOKUP(N181,TD!$B$54:$F$58,2,0)," ")</f>
        <v>O230117</v>
      </c>
      <c r="V181" s="167" t="str">
        <f>IFERROR(VLOOKUP(N181,TD!$B$54:$F$58,3,0)," ")</f>
        <v>4599</v>
      </c>
      <c r="W181" s="167">
        <f>IFERROR(VLOOKUP(N181,TD!$B$54:$F$58,4,0)," ")</f>
        <v>20240207</v>
      </c>
      <c r="X181" s="166" t="s">
        <v>174</v>
      </c>
      <c r="Y181" s="167" t="str">
        <f>IFERROR(VLOOKUP(X181,TD!$J$55:$K$68,2,0)," ")</f>
        <v>Infraestructura física, mantenimiento y dotación (Sedes construidas, mantenidas reforzadas)</v>
      </c>
      <c r="Z181" s="168" t="str">
        <f>CONCATENATE(X181,"-",Y181)</f>
        <v>08-Infraestructura física, mantenimiento y dotación (Sedes construidas, mantenidas reforzadas)</v>
      </c>
      <c r="AA181" s="166" t="s">
        <v>227</v>
      </c>
      <c r="AB181" s="167" t="str">
        <f>IFERROR(VLOOKUP(AA181,TD!$N$55:$O$70,2,0)," ")</f>
        <v>Sedes mantenidas</v>
      </c>
      <c r="AC181" s="168" t="str">
        <f>CONCATENATE(AA181,"_",AB181)</f>
        <v>016_Sedes mantenidas</v>
      </c>
      <c r="AD181" s="168" t="str">
        <f>CONCATENATE(Z181," ",AC181)</f>
        <v>08-Infraestructura física, mantenimiento y dotación (Sedes construidas, mantenidas reforzadas) 016_Sedes mantenidas</v>
      </c>
      <c r="AE181" s="167" t="str">
        <f>CONCATENATE(U181,V181,W181,X181,AA181)</f>
        <v>O23011745992024020708016</v>
      </c>
      <c r="AF181" s="167" t="str">
        <f>IFERROR(VLOOKUP(AD181,TD!$J$70:$K$93,2,0)," ")</f>
        <v>PM/0131/0108/45990160207</v>
      </c>
      <c r="AG181" s="114" t="s">
        <v>385</v>
      </c>
      <c r="AH181" s="166" t="s">
        <v>193</v>
      </c>
      <c r="AI181" s="169" t="str">
        <f>CONCATENATE(PAA[[#This Row],[Id Interno]],"-",PAA[[#This Row],[tipo de Contrato (TH talento humano - B/S bienes y/o servicios)]],"-",S181,"-",T181,"-",PAA[[#This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82" spans="2:35" ht="70" x14ac:dyDescent="0.35">
      <c r="B182" s="23">
        <v>20260138</v>
      </c>
      <c r="C182" s="97" t="s">
        <v>441</v>
      </c>
      <c r="D182" s="23" t="s">
        <v>105</v>
      </c>
      <c r="E182" s="23" t="s">
        <v>363</v>
      </c>
      <c r="F182" s="163" t="s">
        <v>144</v>
      </c>
      <c r="G182" s="164" t="s">
        <v>373</v>
      </c>
      <c r="H182" s="165">
        <v>7</v>
      </c>
      <c r="I182" s="165">
        <v>0</v>
      </c>
      <c r="J182" s="122">
        <v>50400000</v>
      </c>
      <c r="K182" s="88" t="s">
        <v>398</v>
      </c>
      <c r="L182" s="163" t="s">
        <v>154</v>
      </c>
      <c r="M182" s="166" t="s">
        <v>438</v>
      </c>
      <c r="N182" s="23" t="s">
        <v>197</v>
      </c>
      <c r="O182" s="144" t="s">
        <v>886</v>
      </c>
      <c r="P182" s="163" t="s">
        <v>348</v>
      </c>
      <c r="Q182" s="53">
        <v>80111600</v>
      </c>
      <c r="R182" s="166" t="s">
        <v>208</v>
      </c>
      <c r="S182" s="166" t="str">
        <f>MID(PAA[[#This Row],[Meta Proyecto de Inversión]],1,4)</f>
        <v>8126</v>
      </c>
      <c r="T182" s="166" t="str">
        <f>MID(PAA[[#This Row],[Meta Proyecto de Inversión]],6,2)</f>
        <v>9-</v>
      </c>
      <c r="U182" s="167" t="str">
        <f>IFERROR(VLOOKUP(N182,TD!$B$54:$F$58,2,0)," ")</f>
        <v>O230117</v>
      </c>
      <c r="V182" s="167" t="str">
        <f>IFERROR(VLOOKUP(N182,TD!$B$54:$F$58,3,0)," ")</f>
        <v>4599</v>
      </c>
      <c r="W182" s="167">
        <f>IFERROR(VLOOKUP(N182,TD!$B$54:$F$58,4,0)," ")</f>
        <v>20240207</v>
      </c>
      <c r="X182" s="166" t="s">
        <v>174</v>
      </c>
      <c r="Y182" s="167" t="str">
        <f>IFERROR(VLOOKUP(X182,TD!$J$55:$K$68,2,0)," ")</f>
        <v>Infraestructura física, mantenimiento y dotación (Sedes construidas, mantenidas reforzadas)</v>
      </c>
      <c r="Z182" s="168" t="str">
        <f>CONCATENATE(X182,"-",Y182)</f>
        <v>08-Infraestructura física, mantenimiento y dotación (Sedes construidas, mantenidas reforzadas)</v>
      </c>
      <c r="AA182" s="166" t="s">
        <v>227</v>
      </c>
      <c r="AB182" s="167" t="str">
        <f>IFERROR(VLOOKUP(AA182,TD!$N$55:$O$70,2,0)," ")</f>
        <v>Sedes mantenidas</v>
      </c>
      <c r="AC182" s="168" t="str">
        <f>CONCATENATE(AA182,"_",AB182)</f>
        <v>016_Sedes mantenidas</v>
      </c>
      <c r="AD182" s="168" t="str">
        <f>CONCATENATE(Z182," ",AC182)</f>
        <v>08-Infraestructura física, mantenimiento y dotación (Sedes construidas, mantenidas reforzadas) 016_Sedes mantenidas</v>
      </c>
      <c r="AE182" s="167" t="str">
        <f>CONCATENATE(U182,V182,W182,X182,AA182)</f>
        <v>O23011745992024020708016</v>
      </c>
      <c r="AF182" s="167" t="str">
        <f>IFERROR(VLOOKUP(AD182,TD!$J$70:$K$93,2,0)," ")</f>
        <v>PM/0131/0108/45990160207</v>
      </c>
      <c r="AG182" s="114" t="s">
        <v>385</v>
      </c>
      <c r="AH182" s="166" t="s">
        <v>193</v>
      </c>
      <c r="AI182" s="169" t="str">
        <f>CONCATENATE(PAA[[#This Row],[Id Interno]],"-",PAA[[#This Row],[tipo de Contrato (TH talento humano - B/S bienes y/o servicios)]],"-",S182,"-",T182,"-",PAA[[#This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83" spans="2:35" ht="84" x14ac:dyDescent="0.35">
      <c r="B183" s="23">
        <v>20260139</v>
      </c>
      <c r="C183" s="97" t="s">
        <v>929</v>
      </c>
      <c r="D183" s="23" t="s">
        <v>105</v>
      </c>
      <c r="E183" s="23" t="s">
        <v>363</v>
      </c>
      <c r="F183" s="163" t="s">
        <v>144</v>
      </c>
      <c r="G183" s="164" t="s">
        <v>373</v>
      </c>
      <c r="H183" s="165">
        <v>7</v>
      </c>
      <c r="I183" s="165">
        <v>0</v>
      </c>
      <c r="J183" s="122">
        <v>50400000</v>
      </c>
      <c r="K183" s="88" t="s">
        <v>398</v>
      </c>
      <c r="L183" s="163" t="s">
        <v>154</v>
      </c>
      <c r="M183" s="166" t="s">
        <v>438</v>
      </c>
      <c r="N183" s="23" t="s">
        <v>197</v>
      </c>
      <c r="O183" s="144" t="s">
        <v>886</v>
      </c>
      <c r="P183" s="163" t="s">
        <v>348</v>
      </c>
      <c r="Q183" s="53">
        <v>80111600</v>
      </c>
      <c r="R183" s="166" t="s">
        <v>208</v>
      </c>
      <c r="S183" s="166" t="str">
        <f>MID(PAA[[#This Row],[Meta Proyecto de Inversión]],1,4)</f>
        <v>8126</v>
      </c>
      <c r="T183" s="166" t="str">
        <f>MID(PAA[[#This Row],[Meta Proyecto de Inversión]],6,2)</f>
        <v>9-</v>
      </c>
      <c r="U183" s="167" t="str">
        <f>IFERROR(VLOOKUP(N183,TD!$B$54:$F$58,2,0)," ")</f>
        <v>O230117</v>
      </c>
      <c r="V183" s="167" t="str">
        <f>IFERROR(VLOOKUP(N183,TD!$B$54:$F$58,3,0)," ")</f>
        <v>4599</v>
      </c>
      <c r="W183" s="167">
        <f>IFERROR(VLOOKUP(N183,TD!$B$54:$F$58,4,0)," ")</f>
        <v>20240207</v>
      </c>
      <c r="X183" s="166" t="s">
        <v>174</v>
      </c>
      <c r="Y183" s="167" t="str">
        <f>IFERROR(VLOOKUP(X183,TD!$J$55:$K$68,2,0)," ")</f>
        <v>Infraestructura física, mantenimiento y dotación (Sedes construidas, mantenidas reforzadas)</v>
      </c>
      <c r="Z183" s="168" t="str">
        <f>CONCATENATE(X183,"-",Y183)</f>
        <v>08-Infraestructura física, mantenimiento y dotación (Sedes construidas, mantenidas reforzadas)</v>
      </c>
      <c r="AA183" s="166" t="s">
        <v>227</v>
      </c>
      <c r="AB183" s="167" t="str">
        <f>IFERROR(VLOOKUP(AA183,TD!$N$55:$O$70,2,0)," ")</f>
        <v>Sedes mantenidas</v>
      </c>
      <c r="AC183" s="168" t="str">
        <f>CONCATENATE(AA183,"_",AB183)</f>
        <v>016_Sedes mantenidas</v>
      </c>
      <c r="AD183" s="168" t="str">
        <f>CONCATENATE(Z183," ",AC183)</f>
        <v>08-Infraestructura física, mantenimiento y dotación (Sedes construidas, mantenidas reforzadas) 016_Sedes mantenidas</v>
      </c>
      <c r="AE183" s="167" t="str">
        <f>CONCATENATE(U183,V183,W183,X183,AA183)</f>
        <v>O23011745992024020708016</v>
      </c>
      <c r="AF183" s="167" t="str">
        <f>IFERROR(VLOOKUP(AD183,TD!$J$70:$K$93,2,0)," ")</f>
        <v>PM/0131/0108/45990160207</v>
      </c>
      <c r="AG183" s="114" t="s">
        <v>385</v>
      </c>
      <c r="AH183" s="166" t="s">
        <v>193</v>
      </c>
      <c r="AI183" s="169" t="str">
        <f>CONCATENATE(PAA[[#This Row],[Id Interno]],"-",PAA[[#This Row],[tipo de Contrato (TH talento humano - B/S bienes y/o servicios)]],"-",S183,"-",T183,"-",PAA[[#This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84" spans="2:35" ht="98" customHeight="1" x14ac:dyDescent="0.35">
      <c r="B184" s="23">
        <v>20260140</v>
      </c>
      <c r="C184" s="97" t="s">
        <v>593</v>
      </c>
      <c r="D184" s="23" t="s">
        <v>105</v>
      </c>
      <c r="E184" s="23" t="s">
        <v>363</v>
      </c>
      <c r="F184" s="163" t="s">
        <v>144</v>
      </c>
      <c r="G184" s="164" t="s">
        <v>373</v>
      </c>
      <c r="H184" s="165">
        <v>7</v>
      </c>
      <c r="I184" s="165">
        <v>0</v>
      </c>
      <c r="J184" s="122">
        <v>38500000</v>
      </c>
      <c r="K184" s="88" t="s">
        <v>398</v>
      </c>
      <c r="L184" s="163" t="s">
        <v>154</v>
      </c>
      <c r="M184" s="166" t="s">
        <v>438</v>
      </c>
      <c r="N184" s="23" t="s">
        <v>197</v>
      </c>
      <c r="O184" s="144" t="s">
        <v>886</v>
      </c>
      <c r="P184" s="163" t="s">
        <v>348</v>
      </c>
      <c r="Q184" s="53">
        <v>80111600</v>
      </c>
      <c r="R184" s="166" t="s">
        <v>208</v>
      </c>
      <c r="S184" s="166" t="str">
        <f>MID(PAA[[#This Row],[Meta Proyecto de Inversión]],1,4)</f>
        <v>8126</v>
      </c>
      <c r="T184" s="166" t="str">
        <f>MID(PAA[[#This Row],[Meta Proyecto de Inversión]],6,2)</f>
        <v>9-</v>
      </c>
      <c r="U184" s="167" t="str">
        <f>IFERROR(VLOOKUP(N184,TD!$B$54:$F$58,2,0)," ")</f>
        <v>O230117</v>
      </c>
      <c r="V184" s="167" t="str">
        <f>IFERROR(VLOOKUP(N184,TD!$B$54:$F$58,3,0)," ")</f>
        <v>4599</v>
      </c>
      <c r="W184" s="167">
        <f>IFERROR(VLOOKUP(N184,TD!$B$54:$F$58,4,0)," ")</f>
        <v>20240207</v>
      </c>
      <c r="X184" s="166" t="s">
        <v>174</v>
      </c>
      <c r="Y184" s="167" t="str">
        <f>IFERROR(VLOOKUP(X184,TD!$J$55:$K$68,2,0)," ")</f>
        <v>Infraestructura física, mantenimiento y dotación (Sedes construidas, mantenidas reforzadas)</v>
      </c>
      <c r="Z184" s="168" t="str">
        <f>CONCATENATE(X184,"-",Y184)</f>
        <v>08-Infraestructura física, mantenimiento y dotación (Sedes construidas, mantenidas reforzadas)</v>
      </c>
      <c r="AA184" s="166" t="s">
        <v>227</v>
      </c>
      <c r="AB184" s="167" t="str">
        <f>IFERROR(VLOOKUP(AA184,TD!$N$55:$O$70,2,0)," ")</f>
        <v>Sedes mantenidas</v>
      </c>
      <c r="AC184" s="168" t="str">
        <f>CONCATENATE(AA184,"_",AB184)</f>
        <v>016_Sedes mantenidas</v>
      </c>
      <c r="AD184" s="168" t="str">
        <f>CONCATENATE(Z184," ",AC184)</f>
        <v>08-Infraestructura física, mantenimiento y dotación (Sedes construidas, mantenidas reforzadas) 016_Sedes mantenidas</v>
      </c>
      <c r="AE184" s="167" t="str">
        <f>CONCATENATE(U184,V184,W184,X184,AA184)</f>
        <v>O23011745992024020708016</v>
      </c>
      <c r="AF184" s="167" t="str">
        <f>IFERROR(VLOOKUP(AD184,TD!$J$70:$K$93,2,0)," ")</f>
        <v>PM/0131/0108/45990160207</v>
      </c>
      <c r="AG184" s="114" t="s">
        <v>385</v>
      </c>
      <c r="AH184" s="166" t="s">
        <v>193</v>
      </c>
      <c r="AI184" s="169" t="str">
        <f>CONCATENATE(PAA[[#This Row],[Id Interno]],"-",PAA[[#This Row],[tipo de Contrato (TH talento humano - B/S bienes y/o servicios)]],"-",S184,"-",T184,"-",PAA[[#This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85" spans="2:35" ht="112" x14ac:dyDescent="0.35">
      <c r="B185" s="23">
        <v>20260141</v>
      </c>
      <c r="C185" s="97" t="s">
        <v>442</v>
      </c>
      <c r="D185" s="23" t="s">
        <v>105</v>
      </c>
      <c r="E185" s="23" t="s">
        <v>363</v>
      </c>
      <c r="F185" s="163" t="s">
        <v>144</v>
      </c>
      <c r="G185" s="164" t="s">
        <v>373</v>
      </c>
      <c r="H185" s="165">
        <v>10</v>
      </c>
      <c r="I185" s="165">
        <v>0</v>
      </c>
      <c r="J185" s="122">
        <v>69000000</v>
      </c>
      <c r="K185" s="88" t="s">
        <v>398</v>
      </c>
      <c r="L185" s="163" t="s">
        <v>154</v>
      </c>
      <c r="M185" s="166" t="s">
        <v>438</v>
      </c>
      <c r="N185" s="23" t="s">
        <v>197</v>
      </c>
      <c r="O185" s="144" t="s">
        <v>886</v>
      </c>
      <c r="P185" s="163" t="s">
        <v>348</v>
      </c>
      <c r="Q185" s="53">
        <v>80111600</v>
      </c>
      <c r="R185" s="166" t="s">
        <v>208</v>
      </c>
      <c r="S185" s="166" t="str">
        <f>MID(PAA[[#This Row],[Meta Proyecto de Inversión]],1,4)</f>
        <v>8126</v>
      </c>
      <c r="T185" s="166" t="str">
        <f>MID(PAA[[#This Row],[Meta Proyecto de Inversión]],6,2)</f>
        <v>9-</v>
      </c>
      <c r="U185" s="167" t="str">
        <f>IFERROR(VLOOKUP(N185,TD!$B$54:$F$58,2,0)," ")</f>
        <v>O230117</v>
      </c>
      <c r="V185" s="167" t="str">
        <f>IFERROR(VLOOKUP(N185,TD!$B$54:$F$58,3,0)," ")</f>
        <v>4599</v>
      </c>
      <c r="W185" s="167">
        <f>IFERROR(VLOOKUP(N185,TD!$B$54:$F$58,4,0)," ")</f>
        <v>20240207</v>
      </c>
      <c r="X185" s="166" t="s">
        <v>174</v>
      </c>
      <c r="Y185" s="167" t="str">
        <f>IFERROR(VLOOKUP(X185,TD!$J$55:$K$68,2,0)," ")</f>
        <v>Infraestructura física, mantenimiento y dotación (Sedes construidas, mantenidas reforzadas)</v>
      </c>
      <c r="Z185" s="168" t="str">
        <f>CONCATENATE(X185,"-",Y185)</f>
        <v>08-Infraestructura física, mantenimiento y dotación (Sedes construidas, mantenidas reforzadas)</v>
      </c>
      <c r="AA185" s="166" t="s">
        <v>227</v>
      </c>
      <c r="AB185" s="167" t="str">
        <f>IFERROR(VLOOKUP(AA185,TD!$N$55:$O$70,2,0)," ")</f>
        <v>Sedes mantenidas</v>
      </c>
      <c r="AC185" s="168" t="str">
        <f>CONCATENATE(AA185,"_",AB185)</f>
        <v>016_Sedes mantenidas</v>
      </c>
      <c r="AD185" s="168" t="str">
        <f>CONCATENATE(Z185," ",AC185)</f>
        <v>08-Infraestructura física, mantenimiento y dotación (Sedes construidas, mantenidas reforzadas) 016_Sedes mantenidas</v>
      </c>
      <c r="AE185" s="167" t="str">
        <f>CONCATENATE(U185,V185,W185,X185,AA185)</f>
        <v>O23011745992024020708016</v>
      </c>
      <c r="AF185" s="167" t="str">
        <f>IFERROR(VLOOKUP(AD185,TD!$J$70:$K$93,2,0)," ")</f>
        <v>PM/0131/0108/45990160207</v>
      </c>
      <c r="AG185" s="114" t="s">
        <v>385</v>
      </c>
      <c r="AH185" s="166" t="s">
        <v>193</v>
      </c>
      <c r="AI185" s="169" t="str">
        <f>CONCATENATE(PAA[[#This Row],[Id Interno]],"-",PAA[[#This Row],[tipo de Contrato (TH talento humano - B/S bienes y/o servicios)]],"-",S185,"-",T185,"-",PAA[[#This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86" spans="2:35" ht="84" x14ac:dyDescent="0.35">
      <c r="B186" s="23">
        <v>20260142</v>
      </c>
      <c r="C186" s="97" t="s">
        <v>443</v>
      </c>
      <c r="D186" s="23" t="s">
        <v>105</v>
      </c>
      <c r="E186" s="23" t="s">
        <v>363</v>
      </c>
      <c r="F186" s="163" t="s">
        <v>145</v>
      </c>
      <c r="G186" s="164" t="s">
        <v>373</v>
      </c>
      <c r="H186" s="165">
        <v>7</v>
      </c>
      <c r="I186" s="165">
        <v>0</v>
      </c>
      <c r="J186" s="122">
        <v>28700000</v>
      </c>
      <c r="K186" s="88" t="s">
        <v>398</v>
      </c>
      <c r="L186" s="163" t="s">
        <v>154</v>
      </c>
      <c r="M186" s="166" t="s">
        <v>438</v>
      </c>
      <c r="N186" s="23" t="s">
        <v>197</v>
      </c>
      <c r="O186" s="144" t="s">
        <v>886</v>
      </c>
      <c r="P186" s="163" t="s">
        <v>348</v>
      </c>
      <c r="Q186" s="53">
        <v>80111600</v>
      </c>
      <c r="R186" s="166" t="s">
        <v>208</v>
      </c>
      <c r="S186" s="166" t="str">
        <f>MID(PAA[[#This Row],[Meta Proyecto de Inversión]],1,4)</f>
        <v>8126</v>
      </c>
      <c r="T186" s="166" t="str">
        <f>MID(PAA[[#This Row],[Meta Proyecto de Inversión]],6,2)</f>
        <v>9-</v>
      </c>
      <c r="U186" s="167" t="str">
        <f>IFERROR(VLOOKUP(N186,TD!$B$54:$F$58,2,0)," ")</f>
        <v>O230117</v>
      </c>
      <c r="V186" s="167" t="str">
        <f>IFERROR(VLOOKUP(N186,TD!$B$54:$F$58,3,0)," ")</f>
        <v>4599</v>
      </c>
      <c r="W186" s="167">
        <f>IFERROR(VLOOKUP(N186,TD!$B$54:$F$58,4,0)," ")</f>
        <v>20240207</v>
      </c>
      <c r="X186" s="166" t="s">
        <v>174</v>
      </c>
      <c r="Y186" s="167" t="str">
        <f>IFERROR(VLOOKUP(X186,TD!$J$55:$K$68,2,0)," ")</f>
        <v>Infraestructura física, mantenimiento y dotación (Sedes construidas, mantenidas reforzadas)</v>
      </c>
      <c r="Z186" s="168" t="str">
        <f>CONCATENATE(X186,"-",Y186)</f>
        <v>08-Infraestructura física, mantenimiento y dotación (Sedes construidas, mantenidas reforzadas)</v>
      </c>
      <c r="AA186" s="166" t="s">
        <v>227</v>
      </c>
      <c r="AB186" s="167" t="str">
        <f>IFERROR(VLOOKUP(AA186,TD!$N$55:$O$70,2,0)," ")</f>
        <v>Sedes mantenidas</v>
      </c>
      <c r="AC186" s="168" t="str">
        <f>CONCATENATE(AA186,"_",AB186)</f>
        <v>016_Sedes mantenidas</v>
      </c>
      <c r="AD186" s="168" t="str">
        <f>CONCATENATE(Z186," ",AC186)</f>
        <v>08-Infraestructura física, mantenimiento y dotación (Sedes construidas, mantenidas reforzadas) 016_Sedes mantenidas</v>
      </c>
      <c r="AE186" s="167" t="str">
        <f>CONCATENATE(U186,V186,W186,X186,AA186)</f>
        <v>O23011745992024020708016</v>
      </c>
      <c r="AF186" s="167" t="str">
        <f>IFERROR(VLOOKUP(AD186,TD!$J$70:$K$93,2,0)," ")</f>
        <v>PM/0131/0108/45990160207</v>
      </c>
      <c r="AG186" s="114" t="s">
        <v>385</v>
      </c>
      <c r="AH186" s="166" t="s">
        <v>193</v>
      </c>
      <c r="AI186" s="169" t="str">
        <f>CONCATENATE(PAA[[#This Row],[Id Interno]],"-",PAA[[#This Row],[tipo de Contrato (TH talento humano - B/S bienes y/o servicios)]],"-",S186,"-",T186,"-",PAA[[#This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87" spans="2:35" ht="56.15" customHeight="1" x14ac:dyDescent="0.35">
      <c r="B187" s="23">
        <v>20260143</v>
      </c>
      <c r="C187" s="97" t="s">
        <v>444</v>
      </c>
      <c r="D187" s="23" t="s">
        <v>105</v>
      </c>
      <c r="E187" s="23" t="s">
        <v>363</v>
      </c>
      <c r="F187" s="163" t="s">
        <v>144</v>
      </c>
      <c r="G187" s="164" t="s">
        <v>373</v>
      </c>
      <c r="H187" s="165">
        <v>7</v>
      </c>
      <c r="I187" s="165">
        <v>0</v>
      </c>
      <c r="J187" s="122">
        <v>45080000</v>
      </c>
      <c r="K187" s="88" t="s">
        <v>398</v>
      </c>
      <c r="L187" s="163" t="s">
        <v>154</v>
      </c>
      <c r="M187" s="166" t="s">
        <v>438</v>
      </c>
      <c r="N187" s="23" t="s">
        <v>197</v>
      </c>
      <c r="O187" s="144" t="s">
        <v>886</v>
      </c>
      <c r="P187" s="163" t="s">
        <v>348</v>
      </c>
      <c r="Q187" s="53">
        <v>80111600</v>
      </c>
      <c r="R187" s="166" t="s">
        <v>208</v>
      </c>
      <c r="S187" s="166" t="str">
        <f>MID(PAA[[#This Row],[Meta Proyecto de Inversión]],1,4)</f>
        <v>8126</v>
      </c>
      <c r="T187" s="166" t="str">
        <f>MID(PAA[[#This Row],[Meta Proyecto de Inversión]],6,2)</f>
        <v>9-</v>
      </c>
      <c r="U187" s="167" t="str">
        <f>IFERROR(VLOOKUP(N187,TD!$B$54:$F$58,2,0)," ")</f>
        <v>O230117</v>
      </c>
      <c r="V187" s="167" t="str">
        <f>IFERROR(VLOOKUP(N187,TD!$B$54:$F$58,3,0)," ")</f>
        <v>4599</v>
      </c>
      <c r="W187" s="167">
        <f>IFERROR(VLOOKUP(N187,TD!$B$54:$F$58,4,0)," ")</f>
        <v>20240207</v>
      </c>
      <c r="X187" s="166" t="s">
        <v>174</v>
      </c>
      <c r="Y187" s="167" t="str">
        <f>IFERROR(VLOOKUP(X187,TD!$J$55:$K$68,2,0)," ")</f>
        <v>Infraestructura física, mantenimiento y dotación (Sedes construidas, mantenidas reforzadas)</v>
      </c>
      <c r="Z187" s="168" t="str">
        <f>CONCATENATE(X187,"-",Y187)</f>
        <v>08-Infraestructura física, mantenimiento y dotación (Sedes construidas, mantenidas reforzadas)</v>
      </c>
      <c r="AA187" s="166" t="s">
        <v>227</v>
      </c>
      <c r="AB187" s="167" t="str">
        <f>IFERROR(VLOOKUP(AA187,TD!$N$55:$O$70,2,0)," ")</f>
        <v>Sedes mantenidas</v>
      </c>
      <c r="AC187" s="168" t="str">
        <f>CONCATENATE(AA187,"_",AB187)</f>
        <v>016_Sedes mantenidas</v>
      </c>
      <c r="AD187" s="168" t="str">
        <f>CONCATENATE(Z187," ",AC187)</f>
        <v>08-Infraestructura física, mantenimiento y dotación (Sedes construidas, mantenidas reforzadas) 016_Sedes mantenidas</v>
      </c>
      <c r="AE187" s="167" t="str">
        <f>CONCATENATE(U187,V187,W187,X187,AA187)</f>
        <v>O23011745992024020708016</v>
      </c>
      <c r="AF187" s="167" t="str">
        <f>IFERROR(VLOOKUP(AD187,TD!$J$70:$K$93,2,0)," ")</f>
        <v>PM/0131/0108/45990160207</v>
      </c>
      <c r="AG187" s="114" t="s">
        <v>385</v>
      </c>
      <c r="AH187" s="166" t="s">
        <v>193</v>
      </c>
      <c r="AI187" s="169" t="str">
        <f>CONCATENATE(PAA[[#This Row],[Id Interno]],"-",PAA[[#This Row],[tipo de Contrato (TH talento humano - B/S bienes y/o servicios)]],"-",S187,"-",T187,"-",PAA[[#This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88" spans="2:35" ht="56" customHeight="1" x14ac:dyDescent="0.35">
      <c r="B188" s="23">
        <v>20260144</v>
      </c>
      <c r="C188" s="97" t="s">
        <v>445</v>
      </c>
      <c r="D188" s="23" t="s">
        <v>105</v>
      </c>
      <c r="E188" s="23" t="s">
        <v>363</v>
      </c>
      <c r="F188" s="163" t="s">
        <v>144</v>
      </c>
      <c r="G188" s="164" t="s">
        <v>373</v>
      </c>
      <c r="H188" s="165">
        <v>11</v>
      </c>
      <c r="I188" s="165">
        <v>0</v>
      </c>
      <c r="J188" s="122">
        <v>53900000</v>
      </c>
      <c r="K188" s="88" t="s">
        <v>398</v>
      </c>
      <c r="L188" s="163" t="s">
        <v>154</v>
      </c>
      <c r="M188" s="166" t="s">
        <v>438</v>
      </c>
      <c r="N188" s="23" t="s">
        <v>197</v>
      </c>
      <c r="O188" s="144" t="s">
        <v>886</v>
      </c>
      <c r="P188" s="163" t="s">
        <v>348</v>
      </c>
      <c r="Q188" s="53">
        <v>80111600</v>
      </c>
      <c r="R188" s="166" t="s">
        <v>208</v>
      </c>
      <c r="S188" s="166" t="str">
        <f>MID(PAA[[#This Row],[Meta Proyecto de Inversión]],1,4)</f>
        <v>8126</v>
      </c>
      <c r="T188" s="166" t="str">
        <f>MID(PAA[[#This Row],[Meta Proyecto de Inversión]],6,2)</f>
        <v>9-</v>
      </c>
      <c r="U188" s="167" t="str">
        <f>IFERROR(VLOOKUP(N188,TD!$B$54:$F$58,2,0)," ")</f>
        <v>O230117</v>
      </c>
      <c r="V188" s="167" t="str">
        <f>IFERROR(VLOOKUP(N188,TD!$B$54:$F$58,3,0)," ")</f>
        <v>4599</v>
      </c>
      <c r="W188" s="167">
        <f>IFERROR(VLOOKUP(N188,TD!$B$54:$F$58,4,0)," ")</f>
        <v>20240207</v>
      </c>
      <c r="X188" s="166" t="s">
        <v>174</v>
      </c>
      <c r="Y188" s="167" t="str">
        <f>IFERROR(VLOOKUP(X188,TD!$J$55:$K$68,2,0)," ")</f>
        <v>Infraestructura física, mantenimiento y dotación (Sedes construidas, mantenidas reforzadas)</v>
      </c>
      <c r="Z188" s="168" t="str">
        <f>CONCATENATE(X188,"-",Y188)</f>
        <v>08-Infraestructura física, mantenimiento y dotación (Sedes construidas, mantenidas reforzadas)</v>
      </c>
      <c r="AA188" s="166" t="s">
        <v>227</v>
      </c>
      <c r="AB188" s="167" t="str">
        <f>IFERROR(VLOOKUP(AA188,TD!$N$55:$O$70,2,0)," ")</f>
        <v>Sedes mantenidas</v>
      </c>
      <c r="AC188" s="168" t="str">
        <f>CONCATENATE(AA188,"_",AB188)</f>
        <v>016_Sedes mantenidas</v>
      </c>
      <c r="AD188" s="168" t="str">
        <f>CONCATENATE(Z188," ",AC188)</f>
        <v>08-Infraestructura física, mantenimiento y dotación (Sedes construidas, mantenidas reforzadas) 016_Sedes mantenidas</v>
      </c>
      <c r="AE188" s="167" t="str">
        <f>CONCATENATE(U188,V188,W188,X188,AA188)</f>
        <v>O23011745992024020708016</v>
      </c>
      <c r="AF188" s="167" t="str">
        <f>IFERROR(VLOOKUP(AD188,TD!$J$70:$K$93,2,0)," ")</f>
        <v>PM/0131/0108/45990160207</v>
      </c>
      <c r="AG188" s="114" t="s">
        <v>385</v>
      </c>
      <c r="AH188" s="166" t="s">
        <v>193</v>
      </c>
      <c r="AI188" s="169" t="str">
        <f>CONCATENATE(PAA[[#This Row],[Id Interno]],"-",PAA[[#This Row],[tipo de Contrato (TH talento humano - B/S bienes y/o servicios)]],"-",S188,"-",T188,"-",PAA[[#This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89" spans="2:35" ht="56" customHeight="1" x14ac:dyDescent="0.35">
      <c r="B189" s="23">
        <v>20260145</v>
      </c>
      <c r="C189" s="97" t="s">
        <v>842</v>
      </c>
      <c r="D189" s="23" t="s">
        <v>105</v>
      </c>
      <c r="E189" s="23" t="s">
        <v>363</v>
      </c>
      <c r="F189" s="163" t="s">
        <v>145</v>
      </c>
      <c r="G189" s="164" t="s">
        <v>373</v>
      </c>
      <c r="H189" s="165">
        <v>8</v>
      </c>
      <c r="I189" s="165">
        <v>0</v>
      </c>
      <c r="J189" s="122">
        <v>32000000</v>
      </c>
      <c r="K189" s="88" t="s">
        <v>398</v>
      </c>
      <c r="L189" s="163" t="s">
        <v>154</v>
      </c>
      <c r="M189" s="166" t="s">
        <v>438</v>
      </c>
      <c r="N189" s="23" t="s">
        <v>197</v>
      </c>
      <c r="O189" s="144" t="s">
        <v>886</v>
      </c>
      <c r="P189" s="163" t="s">
        <v>348</v>
      </c>
      <c r="Q189" s="53">
        <v>80111600</v>
      </c>
      <c r="R189" s="166" t="s">
        <v>208</v>
      </c>
      <c r="S189" s="166" t="str">
        <f>MID(PAA[[#This Row],[Meta Proyecto de Inversión]],1,4)</f>
        <v>8126</v>
      </c>
      <c r="T189" s="166" t="str">
        <f>MID(PAA[[#This Row],[Meta Proyecto de Inversión]],6,2)</f>
        <v>9-</v>
      </c>
      <c r="U189" s="167" t="str">
        <f>IFERROR(VLOOKUP(N189,TD!$B$54:$F$58,2,0)," ")</f>
        <v>O230117</v>
      </c>
      <c r="V189" s="167" t="str">
        <f>IFERROR(VLOOKUP(N189,TD!$B$54:$F$58,3,0)," ")</f>
        <v>4599</v>
      </c>
      <c r="W189" s="167">
        <f>IFERROR(VLOOKUP(N189,TD!$B$54:$F$58,4,0)," ")</f>
        <v>20240207</v>
      </c>
      <c r="X189" s="166" t="s">
        <v>174</v>
      </c>
      <c r="Y189" s="167" t="str">
        <f>IFERROR(VLOOKUP(X189,TD!$J$55:$K$68,2,0)," ")</f>
        <v>Infraestructura física, mantenimiento y dotación (Sedes construidas, mantenidas reforzadas)</v>
      </c>
      <c r="Z189" s="168" t="str">
        <f>CONCATENATE(X189,"-",Y189)</f>
        <v>08-Infraestructura física, mantenimiento y dotación (Sedes construidas, mantenidas reforzadas)</v>
      </c>
      <c r="AA189" s="166" t="s">
        <v>227</v>
      </c>
      <c r="AB189" s="167" t="str">
        <f>IFERROR(VLOOKUP(AA189,TD!$N$55:$O$70,2,0)," ")</f>
        <v>Sedes mantenidas</v>
      </c>
      <c r="AC189" s="168" t="str">
        <f>CONCATENATE(AA189,"_",AB189)</f>
        <v>016_Sedes mantenidas</v>
      </c>
      <c r="AD189" s="168" t="str">
        <f>CONCATENATE(Z189," ",AC189)</f>
        <v>08-Infraestructura física, mantenimiento y dotación (Sedes construidas, mantenidas reforzadas) 016_Sedes mantenidas</v>
      </c>
      <c r="AE189" s="167" t="str">
        <f>CONCATENATE(U189,V189,W189,X189,AA189)</f>
        <v>O23011745992024020708016</v>
      </c>
      <c r="AF189" s="167" t="str">
        <f>IFERROR(VLOOKUP(AD189,TD!$J$70:$K$93,2,0)," ")</f>
        <v>PM/0131/0108/45990160207</v>
      </c>
      <c r="AG189" s="114" t="s">
        <v>385</v>
      </c>
      <c r="AH189" s="166" t="s">
        <v>193</v>
      </c>
      <c r="AI189" s="169" t="str">
        <f>CONCATENATE(PAA[[#This Row],[Id Interno]],"-",PAA[[#This Row],[tipo de Contrato (TH talento humano - B/S bienes y/o servicios)]],"-",S189,"-",T189,"-",PAA[[#This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90" spans="2:35" ht="84" customHeight="1" x14ac:dyDescent="0.35">
      <c r="B190" s="23">
        <v>20260146</v>
      </c>
      <c r="C190" s="97" t="s">
        <v>446</v>
      </c>
      <c r="D190" s="23" t="s">
        <v>105</v>
      </c>
      <c r="E190" s="23" t="s">
        <v>363</v>
      </c>
      <c r="F190" s="163" t="s">
        <v>144</v>
      </c>
      <c r="G190" s="164" t="s">
        <v>373</v>
      </c>
      <c r="H190" s="165">
        <v>7</v>
      </c>
      <c r="I190" s="165">
        <v>0</v>
      </c>
      <c r="J190" s="122">
        <v>40600000</v>
      </c>
      <c r="K190" s="88" t="s">
        <v>398</v>
      </c>
      <c r="L190" s="163" t="s">
        <v>154</v>
      </c>
      <c r="M190" s="166" t="s">
        <v>438</v>
      </c>
      <c r="N190" s="23" t="s">
        <v>197</v>
      </c>
      <c r="O190" s="144" t="s">
        <v>886</v>
      </c>
      <c r="P190" s="163" t="s">
        <v>348</v>
      </c>
      <c r="Q190" s="53">
        <v>80111600</v>
      </c>
      <c r="R190" s="166" t="s">
        <v>208</v>
      </c>
      <c r="S190" s="166" t="str">
        <f>MID(PAA[[#This Row],[Meta Proyecto de Inversión]],1,4)</f>
        <v>8126</v>
      </c>
      <c r="T190" s="166" t="str">
        <f>MID(PAA[[#This Row],[Meta Proyecto de Inversión]],6,2)</f>
        <v>9-</v>
      </c>
      <c r="U190" s="167" t="str">
        <f>IFERROR(VLOOKUP(N190,TD!$B$54:$F$58,2,0)," ")</f>
        <v>O230117</v>
      </c>
      <c r="V190" s="167" t="str">
        <f>IFERROR(VLOOKUP(N190,TD!$B$54:$F$58,3,0)," ")</f>
        <v>4599</v>
      </c>
      <c r="W190" s="167">
        <f>IFERROR(VLOOKUP(N190,TD!$B$54:$F$58,4,0)," ")</f>
        <v>20240207</v>
      </c>
      <c r="X190" s="166" t="s">
        <v>174</v>
      </c>
      <c r="Y190" s="167" t="str">
        <f>IFERROR(VLOOKUP(X190,TD!$J$55:$K$68,2,0)," ")</f>
        <v>Infraestructura física, mantenimiento y dotación (Sedes construidas, mantenidas reforzadas)</v>
      </c>
      <c r="Z190" s="168" t="str">
        <f>CONCATENATE(X190,"-",Y190)</f>
        <v>08-Infraestructura física, mantenimiento y dotación (Sedes construidas, mantenidas reforzadas)</v>
      </c>
      <c r="AA190" s="166" t="s">
        <v>227</v>
      </c>
      <c r="AB190" s="167" t="str">
        <f>IFERROR(VLOOKUP(AA190,TD!$N$55:$O$70,2,0)," ")</f>
        <v>Sedes mantenidas</v>
      </c>
      <c r="AC190" s="168" t="str">
        <f>CONCATENATE(AA190,"_",AB190)</f>
        <v>016_Sedes mantenidas</v>
      </c>
      <c r="AD190" s="168" t="str">
        <f>CONCATENATE(Z190," ",AC190)</f>
        <v>08-Infraestructura física, mantenimiento y dotación (Sedes construidas, mantenidas reforzadas) 016_Sedes mantenidas</v>
      </c>
      <c r="AE190" s="167" t="str">
        <f>CONCATENATE(U190,V190,W190,X190,AA190)</f>
        <v>O23011745992024020708016</v>
      </c>
      <c r="AF190" s="167" t="str">
        <f>IFERROR(VLOOKUP(AD190,TD!$J$70:$K$93,2,0)," ")</f>
        <v>PM/0131/0108/45990160207</v>
      </c>
      <c r="AG190" s="114" t="s">
        <v>385</v>
      </c>
      <c r="AH190" s="166" t="s">
        <v>193</v>
      </c>
      <c r="AI190" s="169" t="str">
        <f>CONCATENATE(PAA[[#This Row],[Id Interno]],"-",PAA[[#This Row],[tipo de Contrato (TH talento humano - B/S bienes y/o servicios)]],"-",S190,"-",T190,"-",PAA[[#This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91" spans="2:35" ht="56" customHeight="1" x14ac:dyDescent="0.35">
      <c r="B191" s="23">
        <v>20260147</v>
      </c>
      <c r="C191" s="97" t="s">
        <v>447</v>
      </c>
      <c r="D191" s="23" t="s">
        <v>105</v>
      </c>
      <c r="E191" s="23" t="s">
        <v>363</v>
      </c>
      <c r="F191" s="163" t="s">
        <v>144</v>
      </c>
      <c r="G191" s="164" t="s">
        <v>373</v>
      </c>
      <c r="H191" s="165">
        <v>11</v>
      </c>
      <c r="I191" s="165">
        <v>0</v>
      </c>
      <c r="J191" s="122">
        <v>67100000</v>
      </c>
      <c r="K191" s="88" t="s">
        <v>398</v>
      </c>
      <c r="L191" s="163" t="s">
        <v>154</v>
      </c>
      <c r="M191" s="166" t="s">
        <v>438</v>
      </c>
      <c r="N191" s="23" t="s">
        <v>197</v>
      </c>
      <c r="O191" s="144" t="s">
        <v>886</v>
      </c>
      <c r="P191" s="163" t="s">
        <v>348</v>
      </c>
      <c r="Q191" s="53">
        <v>80111600</v>
      </c>
      <c r="R191" s="166" t="s">
        <v>208</v>
      </c>
      <c r="S191" s="166" t="str">
        <f>MID(PAA[[#This Row],[Meta Proyecto de Inversión]],1,4)</f>
        <v>8126</v>
      </c>
      <c r="T191" s="166" t="str">
        <f>MID(PAA[[#This Row],[Meta Proyecto de Inversión]],6,2)</f>
        <v>9-</v>
      </c>
      <c r="U191" s="167" t="str">
        <f>IFERROR(VLOOKUP(N191,TD!$B$54:$F$58,2,0)," ")</f>
        <v>O230117</v>
      </c>
      <c r="V191" s="167" t="str">
        <f>IFERROR(VLOOKUP(N191,TD!$B$54:$F$58,3,0)," ")</f>
        <v>4599</v>
      </c>
      <c r="W191" s="167">
        <f>IFERROR(VLOOKUP(N191,TD!$B$54:$F$58,4,0)," ")</f>
        <v>20240207</v>
      </c>
      <c r="X191" s="166" t="s">
        <v>174</v>
      </c>
      <c r="Y191" s="167" t="str">
        <f>IFERROR(VLOOKUP(X191,TD!$J$55:$K$68,2,0)," ")</f>
        <v>Infraestructura física, mantenimiento y dotación (Sedes construidas, mantenidas reforzadas)</v>
      </c>
      <c r="Z191" s="168" t="str">
        <f>CONCATENATE(X191,"-",Y191)</f>
        <v>08-Infraestructura física, mantenimiento y dotación (Sedes construidas, mantenidas reforzadas)</v>
      </c>
      <c r="AA191" s="166" t="s">
        <v>227</v>
      </c>
      <c r="AB191" s="167" t="str">
        <f>IFERROR(VLOOKUP(AA191,TD!$N$55:$O$70,2,0)," ")</f>
        <v>Sedes mantenidas</v>
      </c>
      <c r="AC191" s="168" t="str">
        <f>CONCATENATE(AA191,"_",AB191)</f>
        <v>016_Sedes mantenidas</v>
      </c>
      <c r="AD191" s="168" t="str">
        <f>CONCATENATE(Z191," ",AC191)</f>
        <v>08-Infraestructura física, mantenimiento y dotación (Sedes construidas, mantenidas reforzadas) 016_Sedes mantenidas</v>
      </c>
      <c r="AE191" s="167" t="str">
        <f>CONCATENATE(U191,V191,W191,X191,AA191)</f>
        <v>O23011745992024020708016</v>
      </c>
      <c r="AF191" s="167" t="str">
        <f>IFERROR(VLOOKUP(AD191,TD!$J$70:$K$93,2,0)," ")</f>
        <v>PM/0131/0108/45990160207</v>
      </c>
      <c r="AG191" s="114" t="s">
        <v>385</v>
      </c>
      <c r="AH191" s="166" t="s">
        <v>193</v>
      </c>
      <c r="AI191" s="169" t="str">
        <f>CONCATENATE(PAA[[#This Row],[Id Interno]],"-",PAA[[#This Row],[tipo de Contrato (TH talento humano - B/S bienes y/o servicios)]],"-",S191,"-",T191,"-",PAA[[#This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192" spans="2:35" ht="70" x14ac:dyDescent="0.35">
      <c r="B192" s="23">
        <v>20260148</v>
      </c>
      <c r="C192" s="97" t="s">
        <v>594</v>
      </c>
      <c r="D192" s="23" t="s">
        <v>105</v>
      </c>
      <c r="E192" s="23" t="s">
        <v>363</v>
      </c>
      <c r="F192" s="163" t="s">
        <v>145</v>
      </c>
      <c r="G192" s="164" t="s">
        <v>373</v>
      </c>
      <c r="H192" s="165">
        <v>7</v>
      </c>
      <c r="I192" s="165">
        <v>0</v>
      </c>
      <c r="J192" s="122">
        <v>28000000</v>
      </c>
      <c r="K192" s="88" t="s">
        <v>398</v>
      </c>
      <c r="L192" s="163" t="s">
        <v>154</v>
      </c>
      <c r="M192" s="166" t="s">
        <v>438</v>
      </c>
      <c r="N192" s="23" t="s">
        <v>197</v>
      </c>
      <c r="O192" s="144" t="s">
        <v>886</v>
      </c>
      <c r="P192" s="163" t="s">
        <v>348</v>
      </c>
      <c r="Q192" s="53">
        <v>80111600</v>
      </c>
      <c r="R192" s="166" t="s">
        <v>208</v>
      </c>
      <c r="S192" s="166" t="str">
        <f>MID(PAA[[#This Row],[Meta Proyecto de Inversión]],1,4)</f>
        <v>8126</v>
      </c>
      <c r="T192" s="166" t="str">
        <f>MID(PAA[[#This Row],[Meta Proyecto de Inversión]],6,2)</f>
        <v>9-</v>
      </c>
      <c r="U192" s="167" t="str">
        <f>IFERROR(VLOOKUP(N192,TD!$B$54:$F$58,2,0)," ")</f>
        <v>O230117</v>
      </c>
      <c r="V192" s="167" t="str">
        <f>IFERROR(VLOOKUP(N192,TD!$B$54:$F$58,3,0)," ")</f>
        <v>4599</v>
      </c>
      <c r="W192" s="167">
        <f>IFERROR(VLOOKUP(N192,TD!$B$54:$F$58,4,0)," ")</f>
        <v>20240207</v>
      </c>
      <c r="X192" s="166" t="s">
        <v>174</v>
      </c>
      <c r="Y192" s="167" t="str">
        <f>IFERROR(VLOOKUP(X192,TD!$J$55:$K$68,2,0)," ")</f>
        <v>Infraestructura física, mantenimiento y dotación (Sedes construidas, mantenidas reforzadas)</v>
      </c>
      <c r="Z192" s="168" t="str">
        <f>CONCATENATE(X192,"-",Y192)</f>
        <v>08-Infraestructura física, mantenimiento y dotación (Sedes construidas, mantenidas reforzadas)</v>
      </c>
      <c r="AA192" s="166" t="s">
        <v>227</v>
      </c>
      <c r="AB192" s="167" t="str">
        <f>IFERROR(VLOOKUP(AA192,TD!$N$55:$O$70,2,0)," ")</f>
        <v>Sedes mantenidas</v>
      </c>
      <c r="AC192" s="168" t="str">
        <f>CONCATENATE(AA192,"_",AB192)</f>
        <v>016_Sedes mantenidas</v>
      </c>
      <c r="AD192" s="168" t="str">
        <f>CONCATENATE(Z192," ",AC192)</f>
        <v>08-Infraestructura física, mantenimiento y dotación (Sedes construidas, mantenidas reforzadas) 016_Sedes mantenidas</v>
      </c>
      <c r="AE192" s="167" t="str">
        <f>CONCATENATE(U192,V192,W192,X192,AA192)</f>
        <v>O23011745992024020708016</v>
      </c>
      <c r="AF192" s="167" t="str">
        <f>IFERROR(VLOOKUP(AD192,TD!$J$70:$K$93,2,0)," ")</f>
        <v>PM/0131/0108/45990160207</v>
      </c>
      <c r="AG192" s="114" t="s">
        <v>385</v>
      </c>
      <c r="AH192" s="166" t="s">
        <v>193</v>
      </c>
      <c r="AI192" s="169" t="str">
        <f>CONCATENATE(PAA[[#This Row],[Id Interno]],"-",PAA[[#This Row],[tipo de Contrato (TH talento humano - B/S bienes y/o servicios)]],"-",S192,"-",T192,"-",PAA[[#This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193" spans="2:35" ht="84" customHeight="1" x14ac:dyDescent="0.35">
      <c r="B193" s="23">
        <v>20260149</v>
      </c>
      <c r="C193" s="97" t="s">
        <v>448</v>
      </c>
      <c r="D193" s="23" t="s">
        <v>105</v>
      </c>
      <c r="E193" s="23" t="s">
        <v>363</v>
      </c>
      <c r="F193" s="163" t="s">
        <v>144</v>
      </c>
      <c r="G193" s="164" t="s">
        <v>373</v>
      </c>
      <c r="H193" s="165">
        <v>7</v>
      </c>
      <c r="I193" s="165">
        <v>0</v>
      </c>
      <c r="J193" s="122">
        <v>42000000</v>
      </c>
      <c r="K193" s="88" t="s">
        <v>398</v>
      </c>
      <c r="L193" s="163" t="s">
        <v>154</v>
      </c>
      <c r="M193" s="166" t="s">
        <v>438</v>
      </c>
      <c r="N193" s="23" t="s">
        <v>197</v>
      </c>
      <c r="O193" s="144" t="s">
        <v>886</v>
      </c>
      <c r="P193" s="163" t="s">
        <v>348</v>
      </c>
      <c r="Q193" s="53">
        <v>80111600</v>
      </c>
      <c r="R193" s="166" t="s">
        <v>208</v>
      </c>
      <c r="S193" s="166" t="str">
        <f>MID(PAA[[#This Row],[Meta Proyecto de Inversión]],1,4)</f>
        <v>8126</v>
      </c>
      <c r="T193" s="166" t="str">
        <f>MID(PAA[[#This Row],[Meta Proyecto de Inversión]],6,2)</f>
        <v>9-</v>
      </c>
      <c r="U193" s="167" t="str">
        <f>IFERROR(VLOOKUP(N193,TD!$B$54:$F$58,2,0)," ")</f>
        <v>O230117</v>
      </c>
      <c r="V193" s="167" t="str">
        <f>IFERROR(VLOOKUP(N193,TD!$B$54:$F$58,3,0)," ")</f>
        <v>4599</v>
      </c>
      <c r="W193" s="167">
        <f>IFERROR(VLOOKUP(N193,TD!$B$54:$F$58,4,0)," ")</f>
        <v>20240207</v>
      </c>
      <c r="X193" s="166" t="s">
        <v>174</v>
      </c>
      <c r="Y193" s="167" t="str">
        <f>IFERROR(VLOOKUP(X193,TD!$J$55:$K$68,2,0)," ")</f>
        <v>Infraestructura física, mantenimiento y dotación (Sedes construidas, mantenidas reforzadas)</v>
      </c>
      <c r="Z193" s="168" t="str">
        <f>CONCATENATE(X193,"-",Y193)</f>
        <v>08-Infraestructura física, mantenimiento y dotación (Sedes construidas, mantenidas reforzadas)</v>
      </c>
      <c r="AA193" s="166" t="s">
        <v>227</v>
      </c>
      <c r="AB193" s="167" t="str">
        <f>IFERROR(VLOOKUP(AA193,TD!$N$55:$O$70,2,0)," ")</f>
        <v>Sedes mantenidas</v>
      </c>
      <c r="AC193" s="168" t="str">
        <f>CONCATENATE(AA193,"_",AB193)</f>
        <v>016_Sedes mantenidas</v>
      </c>
      <c r="AD193" s="168" t="str">
        <f>CONCATENATE(Z193," ",AC193)</f>
        <v>08-Infraestructura física, mantenimiento y dotación (Sedes construidas, mantenidas reforzadas) 016_Sedes mantenidas</v>
      </c>
      <c r="AE193" s="167" t="str">
        <f>CONCATENATE(U193,V193,W193,X193,AA193)</f>
        <v>O23011745992024020708016</v>
      </c>
      <c r="AF193" s="167" t="str">
        <f>IFERROR(VLOOKUP(AD193,TD!$J$70:$K$93,2,0)," ")</f>
        <v>PM/0131/0108/45990160207</v>
      </c>
      <c r="AG193" s="114" t="s">
        <v>385</v>
      </c>
      <c r="AH193" s="166" t="s">
        <v>193</v>
      </c>
      <c r="AI193" s="169" t="str">
        <f>CONCATENATE(PAA[[#This Row],[Id Interno]],"-",PAA[[#This Row],[tipo de Contrato (TH talento humano - B/S bienes y/o servicios)]],"-",S193,"-",T193,"-",PAA[[#This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94" spans="2:35" ht="84" x14ac:dyDescent="0.35">
      <c r="B194" s="23">
        <v>20260150</v>
      </c>
      <c r="C194" s="97" t="s">
        <v>448</v>
      </c>
      <c r="D194" s="23" t="s">
        <v>105</v>
      </c>
      <c r="E194" s="23" t="s">
        <v>363</v>
      </c>
      <c r="F194" s="163" t="s">
        <v>144</v>
      </c>
      <c r="G194" s="164" t="s">
        <v>373</v>
      </c>
      <c r="H194" s="165">
        <v>7</v>
      </c>
      <c r="I194" s="165">
        <v>0</v>
      </c>
      <c r="J194" s="122">
        <v>42000000</v>
      </c>
      <c r="K194" s="88" t="s">
        <v>398</v>
      </c>
      <c r="L194" s="163" t="s">
        <v>154</v>
      </c>
      <c r="M194" s="166" t="s">
        <v>438</v>
      </c>
      <c r="N194" s="23" t="s">
        <v>197</v>
      </c>
      <c r="O194" s="144" t="s">
        <v>886</v>
      </c>
      <c r="P194" s="163" t="s">
        <v>348</v>
      </c>
      <c r="Q194" s="53">
        <v>80111600</v>
      </c>
      <c r="R194" s="166" t="s">
        <v>208</v>
      </c>
      <c r="S194" s="166" t="str">
        <f>MID(PAA[[#This Row],[Meta Proyecto de Inversión]],1,4)</f>
        <v>8126</v>
      </c>
      <c r="T194" s="166" t="str">
        <f>MID(PAA[[#This Row],[Meta Proyecto de Inversión]],6,2)</f>
        <v>9-</v>
      </c>
      <c r="U194" s="167" t="str">
        <f>IFERROR(VLOOKUP(N194,TD!$B$54:$F$58,2,0)," ")</f>
        <v>O230117</v>
      </c>
      <c r="V194" s="167" t="str">
        <f>IFERROR(VLOOKUP(N194,TD!$B$54:$F$58,3,0)," ")</f>
        <v>4599</v>
      </c>
      <c r="W194" s="167">
        <f>IFERROR(VLOOKUP(N194,TD!$B$54:$F$58,4,0)," ")</f>
        <v>20240207</v>
      </c>
      <c r="X194" s="166" t="s">
        <v>174</v>
      </c>
      <c r="Y194" s="167" t="str">
        <f>IFERROR(VLOOKUP(X194,TD!$J$55:$K$68,2,0)," ")</f>
        <v>Infraestructura física, mantenimiento y dotación (Sedes construidas, mantenidas reforzadas)</v>
      </c>
      <c r="Z194" s="168" t="str">
        <f>CONCATENATE(X194,"-",Y194)</f>
        <v>08-Infraestructura física, mantenimiento y dotación (Sedes construidas, mantenidas reforzadas)</v>
      </c>
      <c r="AA194" s="166" t="s">
        <v>227</v>
      </c>
      <c r="AB194" s="167" t="str">
        <f>IFERROR(VLOOKUP(AA194,TD!$N$55:$O$70,2,0)," ")</f>
        <v>Sedes mantenidas</v>
      </c>
      <c r="AC194" s="168" t="str">
        <f>CONCATENATE(AA194,"_",AB194)</f>
        <v>016_Sedes mantenidas</v>
      </c>
      <c r="AD194" s="168" t="str">
        <f>CONCATENATE(Z194," ",AC194)</f>
        <v>08-Infraestructura física, mantenimiento y dotación (Sedes construidas, mantenidas reforzadas) 016_Sedes mantenidas</v>
      </c>
      <c r="AE194" s="167" t="str">
        <f>CONCATENATE(U194,V194,W194,X194,AA194)</f>
        <v>O23011745992024020708016</v>
      </c>
      <c r="AF194" s="167" t="str">
        <f>IFERROR(VLOOKUP(AD194,TD!$J$70:$K$93,2,0)," ")</f>
        <v>PM/0131/0108/45990160207</v>
      </c>
      <c r="AG194" s="114" t="s">
        <v>385</v>
      </c>
      <c r="AH194" s="166" t="s">
        <v>193</v>
      </c>
      <c r="AI194" s="169" t="str">
        <f>CONCATENATE(PAA[[#This Row],[Id Interno]],"-",PAA[[#This Row],[tipo de Contrato (TH talento humano - B/S bienes y/o servicios)]],"-",S194,"-",T194,"-",PAA[[#This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95" spans="2:35" ht="98" x14ac:dyDescent="0.35">
      <c r="B195" s="23">
        <v>20260151</v>
      </c>
      <c r="C195" s="97" t="s">
        <v>448</v>
      </c>
      <c r="D195" s="23" t="s">
        <v>105</v>
      </c>
      <c r="E195" s="23" t="s">
        <v>363</v>
      </c>
      <c r="F195" s="163" t="s">
        <v>144</v>
      </c>
      <c r="G195" s="164" t="s">
        <v>373</v>
      </c>
      <c r="H195" s="165">
        <v>7</v>
      </c>
      <c r="I195" s="165">
        <v>0</v>
      </c>
      <c r="J195" s="122">
        <v>42000000</v>
      </c>
      <c r="K195" s="88" t="s">
        <v>398</v>
      </c>
      <c r="L195" s="163" t="s">
        <v>154</v>
      </c>
      <c r="M195" s="166" t="s">
        <v>438</v>
      </c>
      <c r="N195" s="23" t="s">
        <v>197</v>
      </c>
      <c r="O195" s="144" t="s">
        <v>886</v>
      </c>
      <c r="P195" s="163" t="s">
        <v>348</v>
      </c>
      <c r="Q195" s="53">
        <v>80111600</v>
      </c>
      <c r="R195" s="166" t="s">
        <v>208</v>
      </c>
      <c r="S195" s="166" t="str">
        <f>MID(PAA[[#This Row],[Meta Proyecto de Inversión]],1,4)</f>
        <v>8126</v>
      </c>
      <c r="T195" s="166" t="str">
        <f>MID(PAA[[#This Row],[Meta Proyecto de Inversión]],6,2)</f>
        <v>9-</v>
      </c>
      <c r="U195" s="167" t="str">
        <f>IFERROR(VLOOKUP(N195,TD!$B$54:$F$58,2,0)," ")</f>
        <v>O230117</v>
      </c>
      <c r="V195" s="167" t="str">
        <f>IFERROR(VLOOKUP(N195,TD!$B$54:$F$58,3,0)," ")</f>
        <v>4599</v>
      </c>
      <c r="W195" s="167">
        <f>IFERROR(VLOOKUP(N195,TD!$B$54:$F$58,4,0)," ")</f>
        <v>20240207</v>
      </c>
      <c r="X195" s="166" t="s">
        <v>174</v>
      </c>
      <c r="Y195" s="167" t="str">
        <f>IFERROR(VLOOKUP(X195,TD!$J$55:$K$68,2,0)," ")</f>
        <v>Infraestructura física, mantenimiento y dotación (Sedes construidas, mantenidas reforzadas)</v>
      </c>
      <c r="Z195" s="168" t="str">
        <f>CONCATENATE(X195,"-",Y195)</f>
        <v>08-Infraestructura física, mantenimiento y dotación (Sedes construidas, mantenidas reforzadas)</v>
      </c>
      <c r="AA195" s="166" t="s">
        <v>227</v>
      </c>
      <c r="AB195" s="167" t="str">
        <f>IFERROR(VLOOKUP(AA195,TD!$N$55:$O$70,2,0)," ")</f>
        <v>Sedes mantenidas</v>
      </c>
      <c r="AC195" s="168" t="str">
        <f>CONCATENATE(AA195,"_",AB195)</f>
        <v>016_Sedes mantenidas</v>
      </c>
      <c r="AD195" s="168" t="str">
        <f>CONCATENATE(Z195," ",AC195)</f>
        <v>08-Infraestructura física, mantenimiento y dotación (Sedes construidas, mantenidas reforzadas) 016_Sedes mantenidas</v>
      </c>
      <c r="AE195" s="167" t="str">
        <f>CONCATENATE(U195,V195,W195,X195,AA195)</f>
        <v>O23011745992024020708016</v>
      </c>
      <c r="AF195" s="167" t="str">
        <f>IFERROR(VLOOKUP(AD195,TD!$J$70:$K$93,2,0)," ")</f>
        <v>PM/0131/0108/45990160207</v>
      </c>
      <c r="AG195" s="114" t="s">
        <v>385</v>
      </c>
      <c r="AH195" s="166" t="s">
        <v>193</v>
      </c>
      <c r="AI195" s="169" t="str">
        <f>CONCATENATE(PAA[[#This Row],[Id Interno]],"-",PAA[[#This Row],[tipo de Contrato (TH talento humano - B/S bienes y/o servicios)]],"-",S195,"-",T195,"-",PAA[[#This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96" spans="2:35" ht="84" customHeight="1" x14ac:dyDescent="0.35">
      <c r="B196" s="23">
        <v>20260152</v>
      </c>
      <c r="C196" s="97" t="s">
        <v>449</v>
      </c>
      <c r="D196" s="23" t="s">
        <v>105</v>
      </c>
      <c r="E196" s="23" t="s">
        <v>363</v>
      </c>
      <c r="F196" s="163" t="s">
        <v>144</v>
      </c>
      <c r="G196" s="164" t="s">
        <v>373</v>
      </c>
      <c r="H196" s="165">
        <v>7</v>
      </c>
      <c r="I196" s="165">
        <v>0</v>
      </c>
      <c r="J196" s="122">
        <v>34300000</v>
      </c>
      <c r="K196" s="88" t="s">
        <v>398</v>
      </c>
      <c r="L196" s="163" t="s">
        <v>154</v>
      </c>
      <c r="M196" s="166" t="s">
        <v>438</v>
      </c>
      <c r="N196" s="23" t="s">
        <v>197</v>
      </c>
      <c r="O196" s="144" t="s">
        <v>886</v>
      </c>
      <c r="P196" s="163" t="s">
        <v>348</v>
      </c>
      <c r="Q196" s="53">
        <v>80111600</v>
      </c>
      <c r="R196" s="166" t="s">
        <v>208</v>
      </c>
      <c r="S196" s="166" t="str">
        <f>MID(PAA[[#This Row],[Meta Proyecto de Inversión]],1,4)</f>
        <v>8126</v>
      </c>
      <c r="T196" s="166" t="str">
        <f>MID(PAA[[#This Row],[Meta Proyecto de Inversión]],6,2)</f>
        <v>9-</v>
      </c>
      <c r="U196" s="167" t="str">
        <f>IFERROR(VLOOKUP(N196,TD!$B$54:$F$58,2,0)," ")</f>
        <v>O230117</v>
      </c>
      <c r="V196" s="167" t="str">
        <f>IFERROR(VLOOKUP(N196,TD!$B$54:$F$58,3,0)," ")</f>
        <v>4599</v>
      </c>
      <c r="W196" s="167">
        <f>IFERROR(VLOOKUP(N196,TD!$B$54:$F$58,4,0)," ")</f>
        <v>20240207</v>
      </c>
      <c r="X196" s="166" t="s">
        <v>174</v>
      </c>
      <c r="Y196" s="167" t="str">
        <f>IFERROR(VLOOKUP(X196,TD!$J$55:$K$68,2,0)," ")</f>
        <v>Infraestructura física, mantenimiento y dotación (Sedes construidas, mantenidas reforzadas)</v>
      </c>
      <c r="Z196" s="168" t="str">
        <f>CONCATENATE(X196,"-",Y196)</f>
        <v>08-Infraestructura física, mantenimiento y dotación (Sedes construidas, mantenidas reforzadas)</v>
      </c>
      <c r="AA196" s="166" t="s">
        <v>227</v>
      </c>
      <c r="AB196" s="167" t="str">
        <f>IFERROR(VLOOKUP(AA196,TD!$N$55:$O$70,2,0)," ")</f>
        <v>Sedes mantenidas</v>
      </c>
      <c r="AC196" s="168" t="str">
        <f>CONCATENATE(AA196,"_",AB196)</f>
        <v>016_Sedes mantenidas</v>
      </c>
      <c r="AD196" s="168" t="str">
        <f>CONCATENATE(Z196," ",AC196)</f>
        <v>08-Infraestructura física, mantenimiento y dotación (Sedes construidas, mantenidas reforzadas) 016_Sedes mantenidas</v>
      </c>
      <c r="AE196" s="167" t="str">
        <f>CONCATENATE(U196,V196,W196,X196,AA196)</f>
        <v>O23011745992024020708016</v>
      </c>
      <c r="AF196" s="167" t="str">
        <f>IFERROR(VLOOKUP(AD196,TD!$J$70:$K$93,2,0)," ")</f>
        <v>PM/0131/0108/45990160207</v>
      </c>
      <c r="AG196" s="114" t="s">
        <v>385</v>
      </c>
      <c r="AH196" s="166" t="s">
        <v>193</v>
      </c>
      <c r="AI196" s="169" t="str">
        <f>CONCATENATE(PAA[[#This Row],[Id Interno]],"-",PAA[[#This Row],[tipo de Contrato (TH talento humano - B/S bienes y/o servicios)]],"-",S196,"-",T196,"-",PAA[[#This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197" spans="2:35" ht="98" x14ac:dyDescent="0.35">
      <c r="B197" s="23">
        <v>20260153</v>
      </c>
      <c r="C197" s="97" t="s">
        <v>450</v>
      </c>
      <c r="D197" s="23" t="s">
        <v>105</v>
      </c>
      <c r="E197" s="23" t="s">
        <v>363</v>
      </c>
      <c r="F197" s="163" t="s">
        <v>144</v>
      </c>
      <c r="G197" s="164" t="s">
        <v>373</v>
      </c>
      <c r="H197" s="165">
        <v>7</v>
      </c>
      <c r="I197" s="165">
        <v>0</v>
      </c>
      <c r="J197" s="122">
        <v>36400000</v>
      </c>
      <c r="K197" s="88" t="s">
        <v>398</v>
      </c>
      <c r="L197" s="163" t="s">
        <v>154</v>
      </c>
      <c r="M197" s="166" t="s">
        <v>438</v>
      </c>
      <c r="N197" s="23" t="s">
        <v>197</v>
      </c>
      <c r="O197" s="144" t="s">
        <v>886</v>
      </c>
      <c r="P197" s="163" t="s">
        <v>348</v>
      </c>
      <c r="Q197" s="53">
        <v>80111600</v>
      </c>
      <c r="R197" s="166" t="s">
        <v>208</v>
      </c>
      <c r="S197" s="166" t="str">
        <f>MID(PAA[[#This Row],[Meta Proyecto de Inversión]],1,4)</f>
        <v>8126</v>
      </c>
      <c r="T197" s="166" t="str">
        <f>MID(PAA[[#This Row],[Meta Proyecto de Inversión]],6,2)</f>
        <v>9-</v>
      </c>
      <c r="U197" s="167" t="str">
        <f>IFERROR(VLOOKUP(N197,TD!$B$54:$F$58,2,0)," ")</f>
        <v>O230117</v>
      </c>
      <c r="V197" s="167" t="str">
        <f>IFERROR(VLOOKUP(N197,TD!$B$54:$F$58,3,0)," ")</f>
        <v>4599</v>
      </c>
      <c r="W197" s="167">
        <f>IFERROR(VLOOKUP(N197,TD!$B$54:$F$58,4,0)," ")</f>
        <v>20240207</v>
      </c>
      <c r="X197" s="166" t="s">
        <v>174</v>
      </c>
      <c r="Y197" s="167" t="str">
        <f>IFERROR(VLOOKUP(X197,TD!$J$55:$K$68,2,0)," ")</f>
        <v>Infraestructura física, mantenimiento y dotación (Sedes construidas, mantenidas reforzadas)</v>
      </c>
      <c r="Z197" s="168" t="str">
        <f>CONCATENATE(X197,"-",Y197)</f>
        <v>08-Infraestructura física, mantenimiento y dotación (Sedes construidas, mantenidas reforzadas)</v>
      </c>
      <c r="AA197" s="171" t="s">
        <v>227</v>
      </c>
      <c r="AB197" s="167" t="str">
        <f>IFERROR(VLOOKUP(AA197,TD!$N$55:$O$70,2,0)," ")</f>
        <v>Sedes mantenidas</v>
      </c>
      <c r="AC197" s="168" t="str">
        <f>CONCATENATE(AA197,"_",AB197)</f>
        <v>016_Sedes mantenidas</v>
      </c>
      <c r="AD197" s="168" t="str">
        <f>CONCATENATE(Z197," ",AC197)</f>
        <v>08-Infraestructura física, mantenimiento y dotación (Sedes construidas, mantenidas reforzadas) 016_Sedes mantenidas</v>
      </c>
      <c r="AE197" s="167" t="str">
        <f>CONCATENATE(U197,V197,W197,X197,AA197)</f>
        <v>O23011745992024020708016</v>
      </c>
      <c r="AF197" s="167" t="str">
        <f>IFERROR(VLOOKUP(AD197,TD!$J$70:$K$93,2,0)," ")</f>
        <v>PM/0131/0108/45990160207</v>
      </c>
      <c r="AG197" s="114" t="s">
        <v>385</v>
      </c>
      <c r="AH197" s="166" t="s">
        <v>193</v>
      </c>
      <c r="AI197" s="169" t="str">
        <f>CONCATENATE(PAA[[#This Row],[Id Interno]],"-",PAA[[#This Row],[tipo de Contrato (TH talento humano - B/S bienes y/o servicios)]],"-",S197,"-",T197,"-",PAA[[#This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198" spans="2:35" ht="69" customHeight="1" x14ac:dyDescent="0.35">
      <c r="B198" s="23">
        <v>20260154</v>
      </c>
      <c r="C198" s="97" t="s">
        <v>451</v>
      </c>
      <c r="D198" s="23" t="s">
        <v>105</v>
      </c>
      <c r="E198" s="23" t="s">
        <v>363</v>
      </c>
      <c r="F198" s="163" t="s">
        <v>144</v>
      </c>
      <c r="G198" s="164" t="s">
        <v>373</v>
      </c>
      <c r="H198" s="165">
        <v>11</v>
      </c>
      <c r="I198" s="165">
        <v>0</v>
      </c>
      <c r="J198" s="122">
        <v>77000000</v>
      </c>
      <c r="K198" s="88" t="s">
        <v>398</v>
      </c>
      <c r="L198" s="163" t="s">
        <v>154</v>
      </c>
      <c r="M198" s="166" t="s">
        <v>438</v>
      </c>
      <c r="N198" s="23" t="s">
        <v>197</v>
      </c>
      <c r="O198" s="144" t="s">
        <v>886</v>
      </c>
      <c r="P198" s="163" t="s">
        <v>348</v>
      </c>
      <c r="Q198" s="53">
        <v>80111600</v>
      </c>
      <c r="R198" s="166" t="s">
        <v>208</v>
      </c>
      <c r="S198" s="166" t="str">
        <f>MID(PAA[[#This Row],[Meta Proyecto de Inversión]],1,4)</f>
        <v>8126</v>
      </c>
      <c r="T198" s="166" t="str">
        <f>MID(PAA[[#This Row],[Meta Proyecto de Inversión]],6,2)</f>
        <v>9-</v>
      </c>
      <c r="U198" s="167" t="str">
        <f>IFERROR(VLOOKUP(N198,TD!$B$54:$F$58,2,0)," ")</f>
        <v>O230117</v>
      </c>
      <c r="V198" s="167" t="str">
        <f>IFERROR(VLOOKUP(N198,TD!$B$54:$F$58,3,0)," ")</f>
        <v>4599</v>
      </c>
      <c r="W198" s="167">
        <f>IFERROR(VLOOKUP(N198,TD!$B$54:$F$58,4,0)," ")</f>
        <v>20240207</v>
      </c>
      <c r="X198" s="166" t="s">
        <v>174</v>
      </c>
      <c r="Y198" s="167" t="str">
        <f>IFERROR(VLOOKUP(X198,TD!$J$55:$K$68,2,0)," ")</f>
        <v>Infraestructura física, mantenimiento y dotación (Sedes construidas, mantenidas reforzadas)</v>
      </c>
      <c r="Z198" s="168" t="str">
        <f>CONCATENATE(X198,"-",Y198)</f>
        <v>08-Infraestructura física, mantenimiento y dotación (Sedes construidas, mantenidas reforzadas)</v>
      </c>
      <c r="AA198" s="171" t="s">
        <v>227</v>
      </c>
      <c r="AB198" s="167" t="str">
        <f>IFERROR(VLOOKUP(AA198,TD!$N$55:$O$70,2,0)," ")</f>
        <v>Sedes mantenidas</v>
      </c>
      <c r="AC198" s="168" t="str">
        <f>CONCATENATE(AA198,"_",AB198)</f>
        <v>016_Sedes mantenidas</v>
      </c>
      <c r="AD198" s="168" t="str">
        <f>CONCATENATE(Z198," ",AC198)</f>
        <v>08-Infraestructura física, mantenimiento y dotación (Sedes construidas, mantenidas reforzadas) 016_Sedes mantenidas</v>
      </c>
      <c r="AE198" s="167" t="str">
        <f>CONCATENATE(U198,V198,W198,X198,AA198)</f>
        <v>O23011745992024020708016</v>
      </c>
      <c r="AF198" s="167" t="str">
        <f>IFERROR(VLOOKUP(AD198,TD!$J$70:$K$93,2,0)," ")</f>
        <v>PM/0131/0108/45990160207</v>
      </c>
      <c r="AG198" s="114" t="s">
        <v>385</v>
      </c>
      <c r="AH198" s="166" t="s">
        <v>193</v>
      </c>
      <c r="AI198" s="169" t="str">
        <f>CONCATENATE(PAA[[#This Row],[Id Interno]],"-",PAA[[#This Row],[tipo de Contrato (TH talento humano - B/S bienes y/o servicios)]],"-",S198,"-",T198,"-",PAA[[#This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199" spans="2:35" ht="56" customHeight="1" x14ac:dyDescent="0.35">
      <c r="B199" s="23">
        <v>20260155</v>
      </c>
      <c r="C199" s="97" t="s">
        <v>452</v>
      </c>
      <c r="D199" s="23" t="s">
        <v>105</v>
      </c>
      <c r="E199" s="23" t="s">
        <v>363</v>
      </c>
      <c r="F199" s="163" t="s">
        <v>144</v>
      </c>
      <c r="G199" s="164" t="s">
        <v>373</v>
      </c>
      <c r="H199" s="165">
        <v>10</v>
      </c>
      <c r="I199" s="165">
        <v>0</v>
      </c>
      <c r="J199" s="122">
        <v>64000000</v>
      </c>
      <c r="K199" s="88" t="s">
        <v>398</v>
      </c>
      <c r="L199" s="163" t="s">
        <v>154</v>
      </c>
      <c r="M199" s="166" t="s">
        <v>438</v>
      </c>
      <c r="N199" s="23" t="s">
        <v>197</v>
      </c>
      <c r="O199" s="144" t="s">
        <v>886</v>
      </c>
      <c r="P199" s="163" t="s">
        <v>348</v>
      </c>
      <c r="Q199" s="53">
        <v>80111600</v>
      </c>
      <c r="R199" s="166" t="s">
        <v>208</v>
      </c>
      <c r="S199" s="166" t="str">
        <f>MID(PAA[[#This Row],[Meta Proyecto de Inversión]],1,4)</f>
        <v>8126</v>
      </c>
      <c r="T199" s="166" t="str">
        <f>MID(PAA[[#This Row],[Meta Proyecto de Inversión]],6,2)</f>
        <v>9-</v>
      </c>
      <c r="U199" s="167" t="str">
        <f>IFERROR(VLOOKUP(N199,TD!$B$54:$F$58,2,0)," ")</f>
        <v>O230117</v>
      </c>
      <c r="V199" s="167" t="str">
        <f>IFERROR(VLOOKUP(N199,TD!$B$54:$F$58,3,0)," ")</f>
        <v>4599</v>
      </c>
      <c r="W199" s="167">
        <f>IFERROR(VLOOKUP(N199,TD!$B$54:$F$58,4,0)," ")</f>
        <v>20240207</v>
      </c>
      <c r="X199" s="166" t="s">
        <v>174</v>
      </c>
      <c r="Y199" s="167" t="str">
        <f>IFERROR(VLOOKUP(X199,TD!$J$55:$K$68,2,0)," ")</f>
        <v>Infraestructura física, mantenimiento y dotación (Sedes construidas, mantenidas reforzadas)</v>
      </c>
      <c r="Z199" s="168" t="str">
        <f>CONCATENATE(X199,"-",Y199)</f>
        <v>08-Infraestructura física, mantenimiento y dotación (Sedes construidas, mantenidas reforzadas)</v>
      </c>
      <c r="AA199" s="171" t="s">
        <v>227</v>
      </c>
      <c r="AB199" s="167" t="str">
        <f>IFERROR(VLOOKUP(AA199,TD!$N$55:$O$70,2,0)," ")</f>
        <v>Sedes mantenidas</v>
      </c>
      <c r="AC199" s="168" t="str">
        <f>CONCATENATE(AA199,"_",AB199)</f>
        <v>016_Sedes mantenidas</v>
      </c>
      <c r="AD199" s="168" t="str">
        <f>CONCATENATE(Z199," ",AC199)</f>
        <v>08-Infraestructura física, mantenimiento y dotación (Sedes construidas, mantenidas reforzadas) 016_Sedes mantenidas</v>
      </c>
      <c r="AE199" s="167" t="str">
        <f>CONCATENATE(U199,V199,W199,X199,AA199)</f>
        <v>O23011745992024020708016</v>
      </c>
      <c r="AF199" s="167" t="str">
        <f>IFERROR(VLOOKUP(AD199,TD!$J$70:$K$93,2,0)," ")</f>
        <v>PM/0131/0108/45990160207</v>
      </c>
      <c r="AG199" s="114" t="s">
        <v>385</v>
      </c>
      <c r="AH199" s="166" t="s">
        <v>193</v>
      </c>
      <c r="AI199" s="169" t="str">
        <f>CONCATENATE(PAA[[#This Row],[Id Interno]],"-",PAA[[#This Row],[tipo de Contrato (TH talento humano - B/S bienes y/o servicios)]],"-",S199,"-",T199,"-",PAA[[#This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200" spans="2:35" ht="98" customHeight="1" x14ac:dyDescent="0.35">
      <c r="B200" s="23">
        <v>20260156</v>
      </c>
      <c r="C200" s="97" t="s">
        <v>453</v>
      </c>
      <c r="D200" s="23" t="s">
        <v>105</v>
      </c>
      <c r="E200" s="23" t="s">
        <v>363</v>
      </c>
      <c r="F200" s="163" t="s">
        <v>144</v>
      </c>
      <c r="G200" s="164" t="s">
        <v>373</v>
      </c>
      <c r="H200" s="165">
        <v>11</v>
      </c>
      <c r="I200" s="165">
        <v>0</v>
      </c>
      <c r="J200" s="122">
        <v>77000000</v>
      </c>
      <c r="K200" s="88" t="s">
        <v>398</v>
      </c>
      <c r="L200" s="163" t="s">
        <v>154</v>
      </c>
      <c r="M200" s="166" t="s">
        <v>438</v>
      </c>
      <c r="N200" s="23" t="s">
        <v>197</v>
      </c>
      <c r="O200" s="144" t="s">
        <v>886</v>
      </c>
      <c r="P200" s="163" t="s">
        <v>348</v>
      </c>
      <c r="Q200" s="53">
        <v>80111600</v>
      </c>
      <c r="R200" s="166" t="s">
        <v>208</v>
      </c>
      <c r="S200" s="166" t="str">
        <f>MID(PAA[[#This Row],[Meta Proyecto de Inversión]],1,4)</f>
        <v>8126</v>
      </c>
      <c r="T200" s="166" t="str">
        <f>MID(PAA[[#This Row],[Meta Proyecto de Inversión]],6,2)</f>
        <v>9-</v>
      </c>
      <c r="U200" s="167" t="str">
        <f>IFERROR(VLOOKUP(N200,TD!$B$54:$F$58,2,0)," ")</f>
        <v>O230117</v>
      </c>
      <c r="V200" s="167" t="str">
        <f>IFERROR(VLOOKUP(N200,TD!$B$54:$F$58,3,0)," ")</f>
        <v>4599</v>
      </c>
      <c r="W200" s="167">
        <f>IFERROR(VLOOKUP(N200,TD!$B$54:$F$58,4,0)," ")</f>
        <v>20240207</v>
      </c>
      <c r="X200" s="166" t="s">
        <v>174</v>
      </c>
      <c r="Y200" s="167" t="str">
        <f>IFERROR(VLOOKUP(X200,TD!$J$55:$K$68,2,0)," ")</f>
        <v>Infraestructura física, mantenimiento y dotación (Sedes construidas, mantenidas reforzadas)</v>
      </c>
      <c r="Z200" s="168" t="str">
        <f>CONCATENATE(X200,"-",Y200)</f>
        <v>08-Infraestructura física, mantenimiento y dotación (Sedes construidas, mantenidas reforzadas)</v>
      </c>
      <c r="AA200" s="171" t="s">
        <v>227</v>
      </c>
      <c r="AB200" s="167" t="str">
        <f>IFERROR(VLOOKUP(AA200,TD!$N$55:$O$70,2,0)," ")</f>
        <v>Sedes mantenidas</v>
      </c>
      <c r="AC200" s="168" t="str">
        <f>CONCATENATE(AA200,"_",AB200)</f>
        <v>016_Sedes mantenidas</v>
      </c>
      <c r="AD200" s="168" t="str">
        <f>CONCATENATE(Z200," ",AC200)</f>
        <v>08-Infraestructura física, mantenimiento y dotación (Sedes construidas, mantenidas reforzadas) 016_Sedes mantenidas</v>
      </c>
      <c r="AE200" s="167" t="str">
        <f>CONCATENATE(U200,V200,W200,X200,AA200)</f>
        <v>O23011745992024020708016</v>
      </c>
      <c r="AF200" s="167" t="str">
        <f>IFERROR(VLOOKUP(AD200,TD!$J$70:$K$93,2,0)," ")</f>
        <v>PM/0131/0108/45990160207</v>
      </c>
      <c r="AG200" s="114" t="s">
        <v>385</v>
      </c>
      <c r="AH200" s="166" t="s">
        <v>193</v>
      </c>
      <c r="AI200" s="169" t="str">
        <f>CONCATENATE(PAA[[#This Row],[Id Interno]],"-",PAA[[#This Row],[tipo de Contrato (TH talento humano - B/S bienes y/o servicios)]],"-",S200,"-",T200,"-",PAA[[#This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201" spans="2:35" ht="56" customHeight="1" x14ac:dyDescent="0.35">
      <c r="B201" s="23">
        <v>20260157</v>
      </c>
      <c r="C201" s="97" t="s">
        <v>595</v>
      </c>
      <c r="D201" s="23" t="s">
        <v>105</v>
      </c>
      <c r="E201" s="23" t="s">
        <v>363</v>
      </c>
      <c r="F201" s="163" t="s">
        <v>144</v>
      </c>
      <c r="G201" s="164" t="s">
        <v>373</v>
      </c>
      <c r="H201" s="165">
        <v>10</v>
      </c>
      <c r="I201" s="165">
        <v>0</v>
      </c>
      <c r="J201" s="122">
        <v>65000000</v>
      </c>
      <c r="K201" s="88" t="s">
        <v>398</v>
      </c>
      <c r="L201" s="163" t="s">
        <v>154</v>
      </c>
      <c r="M201" s="166" t="s">
        <v>438</v>
      </c>
      <c r="N201" s="23" t="s">
        <v>197</v>
      </c>
      <c r="O201" s="144" t="s">
        <v>886</v>
      </c>
      <c r="P201" s="163" t="s">
        <v>348</v>
      </c>
      <c r="Q201" s="53">
        <v>80111600</v>
      </c>
      <c r="R201" s="166" t="s">
        <v>208</v>
      </c>
      <c r="S201" s="166" t="str">
        <f>MID(PAA[[#This Row],[Meta Proyecto de Inversión]],1,4)</f>
        <v>8126</v>
      </c>
      <c r="T201" s="166" t="str">
        <f>MID(PAA[[#This Row],[Meta Proyecto de Inversión]],6,2)</f>
        <v>9-</v>
      </c>
      <c r="U201" s="167" t="str">
        <f>IFERROR(VLOOKUP(N201,TD!$B$54:$F$58,2,0)," ")</f>
        <v>O230117</v>
      </c>
      <c r="V201" s="167" t="str">
        <f>IFERROR(VLOOKUP(N201,TD!$B$54:$F$58,3,0)," ")</f>
        <v>4599</v>
      </c>
      <c r="W201" s="167">
        <f>IFERROR(VLOOKUP(N201,TD!$B$54:$F$58,4,0)," ")</f>
        <v>20240207</v>
      </c>
      <c r="X201" s="166" t="s">
        <v>174</v>
      </c>
      <c r="Y201" s="167" t="str">
        <f>IFERROR(VLOOKUP(X201,TD!$J$55:$K$68,2,0)," ")</f>
        <v>Infraestructura física, mantenimiento y dotación (Sedes construidas, mantenidas reforzadas)</v>
      </c>
      <c r="Z201" s="168" t="str">
        <f>CONCATENATE(X201,"-",Y201)</f>
        <v>08-Infraestructura física, mantenimiento y dotación (Sedes construidas, mantenidas reforzadas)</v>
      </c>
      <c r="AA201" s="171" t="s">
        <v>227</v>
      </c>
      <c r="AB201" s="167" t="str">
        <f>IFERROR(VLOOKUP(AA201,TD!$N$55:$O$70,2,0)," ")</f>
        <v>Sedes mantenidas</v>
      </c>
      <c r="AC201" s="168" t="str">
        <f>CONCATENATE(AA201,"_",AB201)</f>
        <v>016_Sedes mantenidas</v>
      </c>
      <c r="AD201" s="168" t="str">
        <f>CONCATENATE(Z201," ",AC201)</f>
        <v>08-Infraestructura física, mantenimiento y dotación (Sedes construidas, mantenidas reforzadas) 016_Sedes mantenidas</v>
      </c>
      <c r="AE201" s="167" t="str">
        <f>CONCATENATE(U201,V201,W201,X201,AA201)</f>
        <v>O23011745992024020708016</v>
      </c>
      <c r="AF201" s="167" t="str">
        <f>IFERROR(VLOOKUP(AD201,TD!$J$70:$K$93,2,0)," ")</f>
        <v>PM/0131/0108/45990160207</v>
      </c>
      <c r="AG201" s="114" t="s">
        <v>385</v>
      </c>
      <c r="AH201" s="166" t="s">
        <v>193</v>
      </c>
      <c r="AI201" s="169" t="str">
        <f>CONCATENATE(PAA[[#This Row],[Id Interno]],"-",PAA[[#This Row],[tipo de Contrato (TH talento humano - B/S bienes y/o servicios)]],"-",S201,"-",T201,"-",PAA[[#This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202" spans="2:35" ht="84" x14ac:dyDescent="0.35">
      <c r="B202" s="23">
        <v>20260158</v>
      </c>
      <c r="C202" s="97" t="s">
        <v>454</v>
      </c>
      <c r="D202" s="23" t="s">
        <v>105</v>
      </c>
      <c r="E202" s="23" t="s">
        <v>363</v>
      </c>
      <c r="F202" s="163" t="s">
        <v>144</v>
      </c>
      <c r="G202" s="164" t="s">
        <v>373</v>
      </c>
      <c r="H202" s="165">
        <v>7</v>
      </c>
      <c r="I202" s="165">
        <v>0</v>
      </c>
      <c r="J202" s="122">
        <v>51800000</v>
      </c>
      <c r="K202" s="88" t="s">
        <v>398</v>
      </c>
      <c r="L202" s="163" t="s">
        <v>154</v>
      </c>
      <c r="M202" s="166" t="s">
        <v>438</v>
      </c>
      <c r="N202" s="23" t="s">
        <v>197</v>
      </c>
      <c r="O202" s="144" t="s">
        <v>886</v>
      </c>
      <c r="P202" s="163" t="s">
        <v>348</v>
      </c>
      <c r="Q202" s="53">
        <v>80111600</v>
      </c>
      <c r="R202" s="166" t="s">
        <v>208</v>
      </c>
      <c r="S202" s="166" t="str">
        <f>MID(PAA[[#This Row],[Meta Proyecto de Inversión]],1,4)</f>
        <v>8126</v>
      </c>
      <c r="T202" s="166" t="str">
        <f>MID(PAA[[#This Row],[Meta Proyecto de Inversión]],6,2)</f>
        <v>9-</v>
      </c>
      <c r="U202" s="167" t="str">
        <f>IFERROR(VLOOKUP(N202,TD!$B$54:$F$58,2,0)," ")</f>
        <v>O230117</v>
      </c>
      <c r="V202" s="167" t="str">
        <f>IFERROR(VLOOKUP(N202,TD!$B$54:$F$58,3,0)," ")</f>
        <v>4599</v>
      </c>
      <c r="W202" s="167">
        <f>IFERROR(VLOOKUP(N202,TD!$B$54:$F$58,4,0)," ")</f>
        <v>20240207</v>
      </c>
      <c r="X202" s="166" t="s">
        <v>174</v>
      </c>
      <c r="Y202" s="167" t="str">
        <f>IFERROR(VLOOKUP(X202,TD!$J$55:$K$68,2,0)," ")</f>
        <v>Infraestructura física, mantenimiento y dotación (Sedes construidas, mantenidas reforzadas)</v>
      </c>
      <c r="Z202" s="168" t="str">
        <f>CONCATENATE(X202,"-",Y202)</f>
        <v>08-Infraestructura física, mantenimiento y dotación (Sedes construidas, mantenidas reforzadas)</v>
      </c>
      <c r="AA202" s="171" t="s">
        <v>227</v>
      </c>
      <c r="AB202" s="167" t="str">
        <f>IFERROR(VLOOKUP(AA202,TD!$N$55:$O$70,2,0)," ")</f>
        <v>Sedes mantenidas</v>
      </c>
      <c r="AC202" s="168" t="str">
        <f>CONCATENATE(AA202,"_",AB202)</f>
        <v>016_Sedes mantenidas</v>
      </c>
      <c r="AD202" s="168" t="str">
        <f>CONCATENATE(Z202," ",AC202)</f>
        <v>08-Infraestructura física, mantenimiento y dotación (Sedes construidas, mantenidas reforzadas) 016_Sedes mantenidas</v>
      </c>
      <c r="AE202" s="167" t="str">
        <f>CONCATENATE(U202,V202,W202,X202,AA202)</f>
        <v>O23011745992024020708016</v>
      </c>
      <c r="AF202" s="167" t="str">
        <f>IFERROR(VLOOKUP(AD202,TD!$J$70:$K$93,2,0)," ")</f>
        <v>PM/0131/0108/45990160207</v>
      </c>
      <c r="AG202" s="114" t="s">
        <v>385</v>
      </c>
      <c r="AH202" s="166" t="s">
        <v>193</v>
      </c>
      <c r="AI202" s="169" t="str">
        <f>CONCATENATE(PAA[[#This Row],[Id Interno]],"-",PAA[[#This Row],[tipo de Contrato (TH talento humano - B/S bienes y/o servicios)]],"-",S202,"-",T202,"-",PAA[[#This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203" spans="2:35" ht="84" customHeight="1" x14ac:dyDescent="0.35">
      <c r="B203" s="23">
        <v>20260159</v>
      </c>
      <c r="C203" s="97" t="s">
        <v>596</v>
      </c>
      <c r="D203" s="23" t="s">
        <v>105</v>
      </c>
      <c r="E203" s="23" t="s">
        <v>363</v>
      </c>
      <c r="F203" s="163" t="s">
        <v>144</v>
      </c>
      <c r="G203" s="164" t="s">
        <v>373</v>
      </c>
      <c r="H203" s="165">
        <v>7</v>
      </c>
      <c r="I203" s="165">
        <v>0</v>
      </c>
      <c r="J203" s="122">
        <v>50600000</v>
      </c>
      <c r="K203" s="88" t="s">
        <v>398</v>
      </c>
      <c r="L203" s="163" t="s">
        <v>154</v>
      </c>
      <c r="M203" s="166" t="s">
        <v>438</v>
      </c>
      <c r="N203" s="23" t="s">
        <v>197</v>
      </c>
      <c r="O203" s="144" t="s">
        <v>886</v>
      </c>
      <c r="P203" s="163" t="s">
        <v>348</v>
      </c>
      <c r="Q203" s="53">
        <v>80111600</v>
      </c>
      <c r="R203" s="166" t="s">
        <v>208</v>
      </c>
      <c r="S203" s="166" t="str">
        <f>MID(PAA[[#This Row],[Meta Proyecto de Inversión]],1,4)</f>
        <v>8126</v>
      </c>
      <c r="T203" s="166" t="str">
        <f>MID(PAA[[#This Row],[Meta Proyecto de Inversión]],6,2)</f>
        <v>9-</v>
      </c>
      <c r="U203" s="167" t="str">
        <f>IFERROR(VLOOKUP(N203,TD!$B$54:$F$58,2,0)," ")</f>
        <v>O230117</v>
      </c>
      <c r="V203" s="167" t="str">
        <f>IFERROR(VLOOKUP(N203,TD!$B$54:$F$58,3,0)," ")</f>
        <v>4599</v>
      </c>
      <c r="W203" s="167">
        <f>IFERROR(VLOOKUP(N203,TD!$B$54:$F$58,4,0)," ")</f>
        <v>20240207</v>
      </c>
      <c r="X203" s="166" t="s">
        <v>174</v>
      </c>
      <c r="Y203" s="167" t="str">
        <f>IFERROR(VLOOKUP(X203,TD!$J$55:$K$68,2,0)," ")</f>
        <v>Infraestructura física, mantenimiento y dotación (Sedes construidas, mantenidas reforzadas)</v>
      </c>
      <c r="Z203" s="168" t="str">
        <f>CONCATENATE(X203,"-",Y203)</f>
        <v>08-Infraestructura física, mantenimiento y dotación (Sedes construidas, mantenidas reforzadas)</v>
      </c>
      <c r="AA203" s="171" t="s">
        <v>227</v>
      </c>
      <c r="AB203" s="167" t="str">
        <f>IFERROR(VLOOKUP(AA203,TD!$N$55:$O$70,2,0)," ")</f>
        <v>Sedes mantenidas</v>
      </c>
      <c r="AC203" s="168" t="str">
        <f>CONCATENATE(AA203,"_",AB203)</f>
        <v>016_Sedes mantenidas</v>
      </c>
      <c r="AD203" s="168" t="str">
        <f>CONCATENATE(Z203," ",AC203)</f>
        <v>08-Infraestructura física, mantenimiento y dotación (Sedes construidas, mantenidas reforzadas) 016_Sedes mantenidas</v>
      </c>
      <c r="AE203" s="167" t="str">
        <f>CONCATENATE(U203,V203,W203,X203,AA203)</f>
        <v>O23011745992024020708016</v>
      </c>
      <c r="AF203" s="167" t="str">
        <f>IFERROR(VLOOKUP(AD203,TD!$J$70:$K$93,2,0)," ")</f>
        <v>PM/0131/0108/45990160207</v>
      </c>
      <c r="AG203" s="114" t="s">
        <v>385</v>
      </c>
      <c r="AH203" s="166" t="s">
        <v>193</v>
      </c>
      <c r="AI203" s="169" t="str">
        <f>CONCATENATE(PAA[[#This Row],[Id Interno]],"-",PAA[[#This Row],[tipo de Contrato (TH talento humano - B/S bienes y/o servicios)]],"-",S203,"-",T203,"-",PAA[[#This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204" spans="2:35" ht="56" customHeight="1" x14ac:dyDescent="0.35">
      <c r="B204" s="23">
        <v>20260160</v>
      </c>
      <c r="C204" s="97" t="s">
        <v>597</v>
      </c>
      <c r="D204" s="23" t="s">
        <v>105</v>
      </c>
      <c r="E204" s="23" t="s">
        <v>363</v>
      </c>
      <c r="F204" s="163" t="s">
        <v>145</v>
      </c>
      <c r="G204" s="164" t="s">
        <v>373</v>
      </c>
      <c r="H204" s="165">
        <v>7</v>
      </c>
      <c r="I204" s="165">
        <v>0</v>
      </c>
      <c r="J204" s="122">
        <v>25200000</v>
      </c>
      <c r="K204" s="88" t="s">
        <v>398</v>
      </c>
      <c r="L204" s="163" t="s">
        <v>154</v>
      </c>
      <c r="M204" s="166" t="s">
        <v>438</v>
      </c>
      <c r="N204" s="23" t="s">
        <v>197</v>
      </c>
      <c r="O204" s="144" t="s">
        <v>886</v>
      </c>
      <c r="P204" s="163" t="s">
        <v>348</v>
      </c>
      <c r="Q204" s="53">
        <v>80111600</v>
      </c>
      <c r="R204" s="166" t="s">
        <v>208</v>
      </c>
      <c r="S204" s="166" t="str">
        <f>MID(PAA[[#This Row],[Meta Proyecto de Inversión]],1,4)</f>
        <v>8126</v>
      </c>
      <c r="T204" s="166" t="str">
        <f>MID(PAA[[#This Row],[Meta Proyecto de Inversión]],6,2)</f>
        <v>9-</v>
      </c>
      <c r="U204" s="167" t="str">
        <f>IFERROR(VLOOKUP(N204,TD!$B$54:$F$58,2,0)," ")</f>
        <v>O230117</v>
      </c>
      <c r="V204" s="167" t="str">
        <f>IFERROR(VLOOKUP(N204,TD!$B$54:$F$58,3,0)," ")</f>
        <v>4599</v>
      </c>
      <c r="W204" s="167">
        <f>IFERROR(VLOOKUP(N204,TD!$B$54:$F$58,4,0)," ")</f>
        <v>20240207</v>
      </c>
      <c r="X204" s="166" t="s">
        <v>174</v>
      </c>
      <c r="Y204" s="167" t="str">
        <f>IFERROR(VLOOKUP(X204,TD!$J$55:$K$68,2,0)," ")</f>
        <v>Infraestructura física, mantenimiento y dotación (Sedes construidas, mantenidas reforzadas)</v>
      </c>
      <c r="Z204" s="168" t="str">
        <f>CONCATENATE(X204,"-",Y204)</f>
        <v>08-Infraestructura física, mantenimiento y dotación (Sedes construidas, mantenidas reforzadas)</v>
      </c>
      <c r="AA204" s="171" t="s">
        <v>227</v>
      </c>
      <c r="AB204" s="167" t="str">
        <f>IFERROR(VLOOKUP(AA204,TD!$N$55:$O$70,2,0)," ")</f>
        <v>Sedes mantenidas</v>
      </c>
      <c r="AC204" s="168" t="str">
        <f>CONCATENATE(AA204,"_",AB204)</f>
        <v>016_Sedes mantenidas</v>
      </c>
      <c r="AD204" s="168" t="str">
        <f>CONCATENATE(Z204," ",AC204)</f>
        <v>08-Infraestructura física, mantenimiento y dotación (Sedes construidas, mantenidas reforzadas) 016_Sedes mantenidas</v>
      </c>
      <c r="AE204" s="167" t="str">
        <f>CONCATENATE(U204,V204,W204,X204,AA204)</f>
        <v>O23011745992024020708016</v>
      </c>
      <c r="AF204" s="167" t="str">
        <f>IFERROR(VLOOKUP(AD204,TD!$J$70:$K$93,2,0)," ")</f>
        <v>PM/0131/0108/45990160207</v>
      </c>
      <c r="AG204" s="114" t="s">
        <v>385</v>
      </c>
      <c r="AH204" s="166" t="s">
        <v>193</v>
      </c>
      <c r="AI204" s="169" t="str">
        <f>CONCATENATE(PAA[[#This Row],[Id Interno]],"-",PAA[[#This Row],[tipo de Contrato (TH talento humano - B/S bienes y/o servicios)]],"-",S204,"-",T204,"-",PAA[[#This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205" spans="2:35" ht="70" customHeight="1" x14ac:dyDescent="0.35">
      <c r="B205" s="23">
        <v>20260161</v>
      </c>
      <c r="C205" s="97" t="s">
        <v>455</v>
      </c>
      <c r="D205" s="23" t="s">
        <v>105</v>
      </c>
      <c r="E205" s="23" t="s">
        <v>363</v>
      </c>
      <c r="F205" s="163" t="s">
        <v>144</v>
      </c>
      <c r="G205" s="164" t="s">
        <v>373</v>
      </c>
      <c r="H205" s="165">
        <v>7</v>
      </c>
      <c r="I205" s="165">
        <v>0</v>
      </c>
      <c r="J205" s="122">
        <v>41300000</v>
      </c>
      <c r="K205" s="88" t="s">
        <v>398</v>
      </c>
      <c r="L205" s="163" t="s">
        <v>154</v>
      </c>
      <c r="M205" s="166" t="s">
        <v>438</v>
      </c>
      <c r="N205" s="23" t="s">
        <v>197</v>
      </c>
      <c r="O205" s="144" t="s">
        <v>886</v>
      </c>
      <c r="P205" s="163" t="s">
        <v>348</v>
      </c>
      <c r="Q205" s="53">
        <v>80111600</v>
      </c>
      <c r="R205" s="166" t="s">
        <v>208</v>
      </c>
      <c r="S205" s="166" t="str">
        <f>MID(PAA[[#This Row],[Meta Proyecto de Inversión]],1,4)</f>
        <v>8126</v>
      </c>
      <c r="T205" s="166" t="str">
        <f>MID(PAA[[#This Row],[Meta Proyecto de Inversión]],6,2)</f>
        <v>9-</v>
      </c>
      <c r="U205" s="167" t="str">
        <f>IFERROR(VLOOKUP(N205,TD!$B$54:$F$58,2,0)," ")</f>
        <v>O230117</v>
      </c>
      <c r="V205" s="167" t="str">
        <f>IFERROR(VLOOKUP(N205,TD!$B$54:$F$58,3,0)," ")</f>
        <v>4599</v>
      </c>
      <c r="W205" s="167">
        <f>IFERROR(VLOOKUP(N205,TD!$B$54:$F$58,4,0)," ")</f>
        <v>20240207</v>
      </c>
      <c r="X205" s="166" t="s">
        <v>174</v>
      </c>
      <c r="Y205" s="167" t="str">
        <f>IFERROR(VLOOKUP(X205,TD!$J$55:$K$68,2,0)," ")</f>
        <v>Infraestructura física, mantenimiento y dotación (Sedes construidas, mantenidas reforzadas)</v>
      </c>
      <c r="Z205" s="168" t="str">
        <f>CONCATENATE(X205,"-",Y205)</f>
        <v>08-Infraestructura física, mantenimiento y dotación (Sedes construidas, mantenidas reforzadas)</v>
      </c>
      <c r="AA205" s="171" t="s">
        <v>227</v>
      </c>
      <c r="AB205" s="167" t="str">
        <f>IFERROR(VLOOKUP(AA205,TD!$N$55:$O$70,2,0)," ")</f>
        <v>Sedes mantenidas</v>
      </c>
      <c r="AC205" s="168" t="str">
        <f>CONCATENATE(AA205,"_",AB205)</f>
        <v>016_Sedes mantenidas</v>
      </c>
      <c r="AD205" s="168" t="str">
        <f>CONCATENATE(Z205," ",AC205)</f>
        <v>08-Infraestructura física, mantenimiento y dotación (Sedes construidas, mantenidas reforzadas) 016_Sedes mantenidas</v>
      </c>
      <c r="AE205" s="167" t="str">
        <f>CONCATENATE(U205,V205,W205,X205,AA205)</f>
        <v>O23011745992024020708016</v>
      </c>
      <c r="AF205" s="167" t="str">
        <f>IFERROR(VLOOKUP(AD205,TD!$J$70:$K$93,2,0)," ")</f>
        <v>PM/0131/0108/45990160207</v>
      </c>
      <c r="AG205" s="114" t="s">
        <v>385</v>
      </c>
      <c r="AH205" s="166" t="s">
        <v>193</v>
      </c>
      <c r="AI205" s="169" t="str">
        <f>CONCATENATE(PAA[[#This Row],[Id Interno]],"-",PAA[[#This Row],[tipo de Contrato (TH talento humano - B/S bienes y/o servicios)]],"-",S205,"-",T205,"-",PAA[[#This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206" spans="2:35" ht="56" customHeight="1" x14ac:dyDescent="0.35">
      <c r="B206" s="23">
        <v>20260162</v>
      </c>
      <c r="C206" s="97" t="s">
        <v>598</v>
      </c>
      <c r="D206" s="23" t="s">
        <v>105</v>
      </c>
      <c r="E206" s="23" t="s">
        <v>363</v>
      </c>
      <c r="F206" s="163" t="s">
        <v>144</v>
      </c>
      <c r="G206" s="164" t="s">
        <v>373</v>
      </c>
      <c r="H206" s="165">
        <v>8</v>
      </c>
      <c r="I206" s="165">
        <v>0</v>
      </c>
      <c r="J206" s="122">
        <v>57600000</v>
      </c>
      <c r="K206" s="88" t="s">
        <v>398</v>
      </c>
      <c r="L206" s="163" t="s">
        <v>154</v>
      </c>
      <c r="M206" s="166" t="s">
        <v>438</v>
      </c>
      <c r="N206" s="23" t="s">
        <v>197</v>
      </c>
      <c r="O206" s="144" t="s">
        <v>886</v>
      </c>
      <c r="P206" s="163" t="s">
        <v>348</v>
      </c>
      <c r="Q206" s="53">
        <v>80111600</v>
      </c>
      <c r="R206" s="166" t="s">
        <v>208</v>
      </c>
      <c r="S206" s="166" t="str">
        <f>MID(PAA[[#This Row],[Meta Proyecto de Inversión]],1,4)</f>
        <v>8126</v>
      </c>
      <c r="T206" s="166" t="str">
        <f>MID(PAA[[#This Row],[Meta Proyecto de Inversión]],6,2)</f>
        <v>9-</v>
      </c>
      <c r="U206" s="167" t="str">
        <f>IFERROR(VLOOKUP(N206,TD!$B$54:$F$58,2,0)," ")</f>
        <v>O230117</v>
      </c>
      <c r="V206" s="167" t="str">
        <f>IFERROR(VLOOKUP(N206,TD!$B$54:$F$58,3,0)," ")</f>
        <v>4599</v>
      </c>
      <c r="W206" s="167">
        <f>IFERROR(VLOOKUP(N206,TD!$B$54:$F$58,4,0)," ")</f>
        <v>20240207</v>
      </c>
      <c r="X206" s="166" t="s">
        <v>174</v>
      </c>
      <c r="Y206" s="167" t="str">
        <f>IFERROR(VLOOKUP(X206,TD!$J$55:$K$68,2,0)," ")</f>
        <v>Infraestructura física, mantenimiento y dotación (Sedes construidas, mantenidas reforzadas)</v>
      </c>
      <c r="Z206" s="168" t="str">
        <f>CONCATENATE(X206,"-",Y206)</f>
        <v>08-Infraestructura física, mantenimiento y dotación (Sedes construidas, mantenidas reforzadas)</v>
      </c>
      <c r="AA206" s="171" t="s">
        <v>227</v>
      </c>
      <c r="AB206" s="167" t="str">
        <f>IFERROR(VLOOKUP(AA206,TD!$N$55:$O$70,2,0)," ")</f>
        <v>Sedes mantenidas</v>
      </c>
      <c r="AC206" s="168" t="str">
        <f>CONCATENATE(AA206,"_",AB206)</f>
        <v>016_Sedes mantenidas</v>
      </c>
      <c r="AD206" s="168" t="str">
        <f>CONCATENATE(Z206," ",AC206)</f>
        <v>08-Infraestructura física, mantenimiento y dotación (Sedes construidas, mantenidas reforzadas) 016_Sedes mantenidas</v>
      </c>
      <c r="AE206" s="167" t="str">
        <f>CONCATENATE(U206,V206,W206,X206,AA206)</f>
        <v>O23011745992024020708016</v>
      </c>
      <c r="AF206" s="167" t="str">
        <f>IFERROR(VLOOKUP(AD206,TD!$J$70:$K$93,2,0)," ")</f>
        <v>PM/0131/0108/45990160207</v>
      </c>
      <c r="AG206" s="114" t="s">
        <v>385</v>
      </c>
      <c r="AH206" s="166" t="s">
        <v>193</v>
      </c>
      <c r="AI206" s="169" t="str">
        <f>CONCATENATE(PAA[[#This Row],[Id Interno]],"-",PAA[[#This Row],[tipo de Contrato (TH talento humano - B/S bienes y/o servicios)]],"-",S206,"-",T206,"-",PAA[[#This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207" spans="2:35" ht="56" customHeight="1" x14ac:dyDescent="0.35">
      <c r="B207" s="23">
        <v>20260163</v>
      </c>
      <c r="C207" s="97" t="s">
        <v>599</v>
      </c>
      <c r="D207" s="23" t="s">
        <v>105</v>
      </c>
      <c r="E207" s="23" t="s">
        <v>363</v>
      </c>
      <c r="F207" s="163" t="s">
        <v>144</v>
      </c>
      <c r="G207" s="164" t="s">
        <v>373</v>
      </c>
      <c r="H207" s="165">
        <v>5</v>
      </c>
      <c r="I207" s="165">
        <v>0</v>
      </c>
      <c r="J207" s="122">
        <v>46000000</v>
      </c>
      <c r="K207" s="88" t="s">
        <v>398</v>
      </c>
      <c r="L207" s="163" t="s">
        <v>154</v>
      </c>
      <c r="M207" s="166" t="s">
        <v>438</v>
      </c>
      <c r="N207" s="23" t="s">
        <v>197</v>
      </c>
      <c r="O207" s="144" t="s">
        <v>886</v>
      </c>
      <c r="P207" s="163" t="s">
        <v>348</v>
      </c>
      <c r="Q207" s="53">
        <v>80111600</v>
      </c>
      <c r="R207" s="166" t="s">
        <v>208</v>
      </c>
      <c r="S207" s="166" t="str">
        <f>MID(PAA[[#This Row],[Meta Proyecto de Inversión]],1,4)</f>
        <v>8126</v>
      </c>
      <c r="T207" s="166" t="str">
        <f>MID(PAA[[#This Row],[Meta Proyecto de Inversión]],6,2)</f>
        <v>9-</v>
      </c>
      <c r="U207" s="167" t="str">
        <f>IFERROR(VLOOKUP(N207,TD!$B$54:$F$58,2,0)," ")</f>
        <v>O230117</v>
      </c>
      <c r="V207" s="167" t="str">
        <f>IFERROR(VLOOKUP(N207,TD!$B$54:$F$58,3,0)," ")</f>
        <v>4599</v>
      </c>
      <c r="W207" s="167">
        <f>IFERROR(VLOOKUP(N207,TD!$B$54:$F$58,4,0)," ")</f>
        <v>20240207</v>
      </c>
      <c r="X207" s="166" t="s">
        <v>174</v>
      </c>
      <c r="Y207" s="167" t="str">
        <f>IFERROR(VLOOKUP(X207,TD!$J$55:$K$68,2,0)," ")</f>
        <v>Infraestructura física, mantenimiento y dotación (Sedes construidas, mantenidas reforzadas)</v>
      </c>
      <c r="Z207" s="168" t="str">
        <f>CONCATENATE(X207,"-",Y207)</f>
        <v>08-Infraestructura física, mantenimiento y dotación (Sedes construidas, mantenidas reforzadas)</v>
      </c>
      <c r="AA207" s="171" t="s">
        <v>227</v>
      </c>
      <c r="AB207" s="167" t="str">
        <f>IFERROR(VLOOKUP(AA207,TD!$N$55:$O$70,2,0)," ")</f>
        <v>Sedes mantenidas</v>
      </c>
      <c r="AC207" s="168" t="str">
        <f>CONCATENATE(AA207,"_",AB207)</f>
        <v>016_Sedes mantenidas</v>
      </c>
      <c r="AD207" s="168" t="str">
        <f>CONCATENATE(Z207," ",AC207)</f>
        <v>08-Infraestructura física, mantenimiento y dotación (Sedes construidas, mantenidas reforzadas) 016_Sedes mantenidas</v>
      </c>
      <c r="AE207" s="167" t="str">
        <f>CONCATENATE(U207,V207,W207,X207,AA207)</f>
        <v>O23011745992024020708016</v>
      </c>
      <c r="AF207" s="167" t="str">
        <f>IFERROR(VLOOKUP(AD207,TD!$J$70:$K$93,2,0)," ")</f>
        <v>PM/0131/0108/45990160207</v>
      </c>
      <c r="AG207" s="114" t="s">
        <v>385</v>
      </c>
      <c r="AH207" s="166" t="s">
        <v>193</v>
      </c>
      <c r="AI207" s="169" t="str">
        <f>CONCATENATE(PAA[[#This Row],[Id Interno]],"-",PAA[[#This Row],[tipo de Contrato (TH talento humano - B/S bienes y/o servicios)]],"-",S207,"-",T207,"-",PAA[[#This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208" spans="2:35" ht="98" x14ac:dyDescent="0.35">
      <c r="B208" s="23">
        <v>20260164</v>
      </c>
      <c r="C208" s="97" t="s">
        <v>456</v>
      </c>
      <c r="D208" s="23" t="s">
        <v>105</v>
      </c>
      <c r="E208" s="23" t="s">
        <v>363</v>
      </c>
      <c r="F208" s="163" t="s">
        <v>144</v>
      </c>
      <c r="G208" s="164" t="s">
        <v>373</v>
      </c>
      <c r="H208" s="165">
        <v>7</v>
      </c>
      <c r="I208" s="165">
        <v>0</v>
      </c>
      <c r="J208" s="122">
        <v>50400000</v>
      </c>
      <c r="K208" s="88" t="s">
        <v>398</v>
      </c>
      <c r="L208" s="163" t="s">
        <v>154</v>
      </c>
      <c r="M208" s="166" t="s">
        <v>438</v>
      </c>
      <c r="N208" s="23" t="s">
        <v>197</v>
      </c>
      <c r="O208" s="144" t="s">
        <v>886</v>
      </c>
      <c r="P208" s="163" t="s">
        <v>348</v>
      </c>
      <c r="Q208" s="53">
        <v>80111600</v>
      </c>
      <c r="R208" s="166" t="s">
        <v>208</v>
      </c>
      <c r="S208" s="166" t="str">
        <f>MID(PAA[[#This Row],[Meta Proyecto de Inversión]],1,4)</f>
        <v>8126</v>
      </c>
      <c r="T208" s="166" t="str">
        <f>MID(PAA[[#This Row],[Meta Proyecto de Inversión]],6,2)</f>
        <v>9-</v>
      </c>
      <c r="U208" s="167" t="str">
        <f>IFERROR(VLOOKUP(N208,TD!$B$54:$F$58,2,0)," ")</f>
        <v>O230117</v>
      </c>
      <c r="V208" s="167" t="str">
        <f>IFERROR(VLOOKUP(N208,TD!$B$54:$F$58,3,0)," ")</f>
        <v>4599</v>
      </c>
      <c r="W208" s="167">
        <f>IFERROR(VLOOKUP(N208,TD!$B$54:$F$58,4,0)," ")</f>
        <v>20240207</v>
      </c>
      <c r="X208" s="166" t="s">
        <v>174</v>
      </c>
      <c r="Y208" s="167" t="str">
        <f>IFERROR(VLOOKUP(X208,TD!$J$55:$K$68,2,0)," ")</f>
        <v>Infraestructura física, mantenimiento y dotación (Sedes construidas, mantenidas reforzadas)</v>
      </c>
      <c r="Z208" s="168" t="str">
        <f>CONCATENATE(X208,"-",Y208)</f>
        <v>08-Infraestructura física, mantenimiento y dotación (Sedes construidas, mantenidas reforzadas)</v>
      </c>
      <c r="AA208" s="171" t="s">
        <v>227</v>
      </c>
      <c r="AB208" s="167" t="str">
        <f>IFERROR(VLOOKUP(AA208,TD!$N$55:$O$70,2,0)," ")</f>
        <v>Sedes mantenidas</v>
      </c>
      <c r="AC208" s="168" t="str">
        <f>CONCATENATE(AA208,"_",AB208)</f>
        <v>016_Sedes mantenidas</v>
      </c>
      <c r="AD208" s="168" t="str">
        <f>CONCATENATE(Z208," ",AC208)</f>
        <v>08-Infraestructura física, mantenimiento y dotación (Sedes construidas, mantenidas reforzadas) 016_Sedes mantenidas</v>
      </c>
      <c r="AE208" s="167" t="str">
        <f>CONCATENATE(U208,V208,W208,X208,AA208)</f>
        <v>O23011745992024020708016</v>
      </c>
      <c r="AF208" s="167" t="str">
        <f>IFERROR(VLOOKUP(AD208,TD!$J$70:$K$93,2,0)," ")</f>
        <v>PM/0131/0108/45990160207</v>
      </c>
      <c r="AG208" s="114" t="s">
        <v>385</v>
      </c>
      <c r="AH208" s="166" t="s">
        <v>193</v>
      </c>
      <c r="AI208" s="169" t="str">
        <f>CONCATENATE(PAA[[#This Row],[Id Interno]],"-",PAA[[#This Row],[tipo de Contrato (TH talento humano - B/S bienes y/o servicios)]],"-",S208,"-",T208,"-",PAA[[#This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209" spans="2:35" ht="56" customHeight="1" x14ac:dyDescent="0.35">
      <c r="B209" s="23">
        <v>20260165</v>
      </c>
      <c r="C209" s="97" t="s">
        <v>600</v>
      </c>
      <c r="D209" s="23" t="s">
        <v>105</v>
      </c>
      <c r="E209" s="23" t="s">
        <v>363</v>
      </c>
      <c r="F209" s="163" t="s">
        <v>144</v>
      </c>
      <c r="G209" s="164" t="s">
        <v>373</v>
      </c>
      <c r="H209" s="165">
        <v>7</v>
      </c>
      <c r="I209" s="165">
        <v>0</v>
      </c>
      <c r="J209" s="122">
        <v>60900000</v>
      </c>
      <c r="K209" s="88" t="s">
        <v>398</v>
      </c>
      <c r="L209" s="163" t="s">
        <v>154</v>
      </c>
      <c r="M209" s="166" t="s">
        <v>438</v>
      </c>
      <c r="N209" s="23" t="s">
        <v>197</v>
      </c>
      <c r="O209" s="144" t="s">
        <v>886</v>
      </c>
      <c r="P209" s="163" t="s">
        <v>348</v>
      </c>
      <c r="Q209" s="53">
        <v>80111600</v>
      </c>
      <c r="R209" s="166" t="s">
        <v>208</v>
      </c>
      <c r="S209" s="166" t="str">
        <f>MID(PAA[[#This Row],[Meta Proyecto de Inversión]],1,4)</f>
        <v>8126</v>
      </c>
      <c r="T209" s="166" t="str">
        <f>MID(PAA[[#This Row],[Meta Proyecto de Inversión]],6,2)</f>
        <v>9-</v>
      </c>
      <c r="U209" s="167" t="str">
        <f>IFERROR(VLOOKUP(N209,TD!$B$54:$F$58,2,0)," ")</f>
        <v>O230117</v>
      </c>
      <c r="V209" s="167" t="str">
        <f>IFERROR(VLOOKUP(N209,TD!$B$54:$F$58,3,0)," ")</f>
        <v>4599</v>
      </c>
      <c r="W209" s="167">
        <f>IFERROR(VLOOKUP(N209,TD!$B$54:$F$58,4,0)," ")</f>
        <v>20240207</v>
      </c>
      <c r="X209" s="166" t="s">
        <v>174</v>
      </c>
      <c r="Y209" s="167" t="str">
        <f>IFERROR(VLOOKUP(X209,TD!$J$55:$K$68,2,0)," ")</f>
        <v>Infraestructura física, mantenimiento y dotación (Sedes construidas, mantenidas reforzadas)</v>
      </c>
      <c r="Z209" s="168" t="str">
        <f>CONCATENATE(X209,"-",Y209)</f>
        <v>08-Infraestructura física, mantenimiento y dotación (Sedes construidas, mantenidas reforzadas)</v>
      </c>
      <c r="AA209" s="171" t="s">
        <v>227</v>
      </c>
      <c r="AB209" s="167" t="str">
        <f>IFERROR(VLOOKUP(AA209,TD!$N$55:$O$70,2,0)," ")</f>
        <v>Sedes mantenidas</v>
      </c>
      <c r="AC209" s="168" t="str">
        <f>CONCATENATE(AA209,"_",AB209)</f>
        <v>016_Sedes mantenidas</v>
      </c>
      <c r="AD209" s="168" t="str">
        <f>CONCATENATE(Z209," ",AC209)</f>
        <v>08-Infraestructura física, mantenimiento y dotación (Sedes construidas, mantenidas reforzadas) 016_Sedes mantenidas</v>
      </c>
      <c r="AE209" s="167" t="str">
        <f>CONCATENATE(U209,V209,W209,X209,AA209)</f>
        <v>O23011745992024020708016</v>
      </c>
      <c r="AF209" s="167" t="str">
        <f>IFERROR(VLOOKUP(AD209,TD!$J$70:$K$93,2,0)," ")</f>
        <v>PM/0131/0108/45990160207</v>
      </c>
      <c r="AG209" s="114" t="s">
        <v>385</v>
      </c>
      <c r="AH209" s="166" t="s">
        <v>193</v>
      </c>
      <c r="AI209" s="169" t="str">
        <f>CONCATENATE(PAA[[#This Row],[Id Interno]],"-",PAA[[#This Row],[tipo de Contrato (TH talento humano - B/S bienes y/o servicios)]],"-",S209,"-",T209,"-",PAA[[#This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210" spans="2:35" ht="56" customHeight="1" x14ac:dyDescent="0.35">
      <c r="B210" s="23">
        <v>20260166</v>
      </c>
      <c r="C210" s="97" t="s">
        <v>457</v>
      </c>
      <c r="D210" s="23" t="s">
        <v>105</v>
      </c>
      <c r="E210" s="23" t="s">
        <v>363</v>
      </c>
      <c r="F210" s="163" t="s">
        <v>144</v>
      </c>
      <c r="G210" s="164" t="s">
        <v>373</v>
      </c>
      <c r="H210" s="165">
        <v>7</v>
      </c>
      <c r="I210" s="165">
        <v>0</v>
      </c>
      <c r="J210" s="122">
        <v>62300000</v>
      </c>
      <c r="K210" s="88" t="s">
        <v>398</v>
      </c>
      <c r="L210" s="163" t="s">
        <v>154</v>
      </c>
      <c r="M210" s="166" t="s">
        <v>438</v>
      </c>
      <c r="N210" s="23" t="s">
        <v>197</v>
      </c>
      <c r="O210" s="144" t="s">
        <v>886</v>
      </c>
      <c r="P210" s="163" t="s">
        <v>348</v>
      </c>
      <c r="Q210" s="53">
        <v>80111600</v>
      </c>
      <c r="R210" s="166" t="s">
        <v>208</v>
      </c>
      <c r="S210" s="166" t="str">
        <f>MID(PAA[[#This Row],[Meta Proyecto de Inversión]],1,4)</f>
        <v>8126</v>
      </c>
      <c r="T210" s="166" t="str">
        <f>MID(PAA[[#This Row],[Meta Proyecto de Inversión]],6,2)</f>
        <v>9-</v>
      </c>
      <c r="U210" s="167" t="str">
        <f>IFERROR(VLOOKUP(N210,TD!$B$54:$F$58,2,0)," ")</f>
        <v>O230117</v>
      </c>
      <c r="V210" s="167" t="str">
        <f>IFERROR(VLOOKUP(N210,TD!$B$54:$F$58,3,0)," ")</f>
        <v>4599</v>
      </c>
      <c r="W210" s="167">
        <f>IFERROR(VLOOKUP(N210,TD!$B$54:$F$58,4,0)," ")</f>
        <v>20240207</v>
      </c>
      <c r="X210" s="166" t="s">
        <v>174</v>
      </c>
      <c r="Y210" s="167" t="str">
        <f>IFERROR(VLOOKUP(X210,TD!$J$55:$K$68,2,0)," ")</f>
        <v>Infraestructura física, mantenimiento y dotación (Sedes construidas, mantenidas reforzadas)</v>
      </c>
      <c r="Z210" s="168" t="str">
        <f>CONCATENATE(X210,"-",Y210)</f>
        <v>08-Infraestructura física, mantenimiento y dotación (Sedes construidas, mantenidas reforzadas)</v>
      </c>
      <c r="AA210" s="171" t="s">
        <v>227</v>
      </c>
      <c r="AB210" s="167" t="str">
        <f>IFERROR(VLOOKUP(AA210,TD!$N$55:$O$70,2,0)," ")</f>
        <v>Sedes mantenidas</v>
      </c>
      <c r="AC210" s="168" t="str">
        <f>CONCATENATE(AA210,"_",AB210)</f>
        <v>016_Sedes mantenidas</v>
      </c>
      <c r="AD210" s="168" t="str">
        <f>CONCATENATE(Z210," ",AC210)</f>
        <v>08-Infraestructura física, mantenimiento y dotación (Sedes construidas, mantenidas reforzadas) 016_Sedes mantenidas</v>
      </c>
      <c r="AE210" s="167" t="str">
        <f>CONCATENATE(U210,V210,W210,X210,AA210)</f>
        <v>O23011745992024020708016</v>
      </c>
      <c r="AF210" s="167" t="str">
        <f>IFERROR(VLOOKUP(AD210,TD!$J$70:$K$93,2,0)," ")</f>
        <v>PM/0131/0108/45990160207</v>
      </c>
      <c r="AG210" s="114" t="s">
        <v>385</v>
      </c>
      <c r="AH210" s="166" t="s">
        <v>193</v>
      </c>
      <c r="AI210" s="169" t="str">
        <f>CONCATENATE(PAA[[#This Row],[Id Interno]],"-",PAA[[#This Row],[tipo de Contrato (TH talento humano - B/S bienes y/o servicios)]],"-",S210,"-",T210,"-",PAA[[#This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211" spans="2:35" ht="98" x14ac:dyDescent="0.35">
      <c r="B211" s="23">
        <v>20260167</v>
      </c>
      <c r="C211" s="97" t="s">
        <v>601</v>
      </c>
      <c r="D211" s="23" t="s">
        <v>105</v>
      </c>
      <c r="E211" s="23" t="s">
        <v>363</v>
      </c>
      <c r="F211" s="163" t="s">
        <v>144</v>
      </c>
      <c r="G211" s="164" t="s">
        <v>373</v>
      </c>
      <c r="H211" s="165">
        <v>10</v>
      </c>
      <c r="I211" s="165">
        <v>0</v>
      </c>
      <c r="J211" s="122">
        <v>83000000</v>
      </c>
      <c r="K211" s="88" t="s">
        <v>398</v>
      </c>
      <c r="L211" s="163" t="s">
        <v>154</v>
      </c>
      <c r="M211" s="166" t="s">
        <v>438</v>
      </c>
      <c r="N211" s="23" t="s">
        <v>197</v>
      </c>
      <c r="O211" s="144" t="s">
        <v>886</v>
      </c>
      <c r="P211" s="163" t="s">
        <v>348</v>
      </c>
      <c r="Q211" s="53">
        <v>80111600</v>
      </c>
      <c r="R211" s="166" t="s">
        <v>208</v>
      </c>
      <c r="S211" s="166" t="str">
        <f>MID(PAA[[#This Row],[Meta Proyecto de Inversión]],1,4)</f>
        <v>8126</v>
      </c>
      <c r="T211" s="166" t="str">
        <f>MID(PAA[[#This Row],[Meta Proyecto de Inversión]],6,2)</f>
        <v>9-</v>
      </c>
      <c r="U211" s="167" t="str">
        <f>IFERROR(VLOOKUP(N211,TD!$B$54:$F$58,2,0)," ")</f>
        <v>O230117</v>
      </c>
      <c r="V211" s="167" t="str">
        <f>IFERROR(VLOOKUP(N211,TD!$B$54:$F$58,3,0)," ")</f>
        <v>4599</v>
      </c>
      <c r="W211" s="167">
        <f>IFERROR(VLOOKUP(N211,TD!$B$54:$F$58,4,0)," ")</f>
        <v>20240207</v>
      </c>
      <c r="X211" s="166" t="s">
        <v>174</v>
      </c>
      <c r="Y211" s="167" t="str">
        <f>IFERROR(VLOOKUP(X211,TD!$J$55:$K$68,2,0)," ")</f>
        <v>Infraestructura física, mantenimiento y dotación (Sedes construidas, mantenidas reforzadas)</v>
      </c>
      <c r="Z211" s="168" t="str">
        <f>CONCATENATE(X211,"-",Y211)</f>
        <v>08-Infraestructura física, mantenimiento y dotación (Sedes construidas, mantenidas reforzadas)</v>
      </c>
      <c r="AA211" s="171" t="s">
        <v>227</v>
      </c>
      <c r="AB211" s="167" t="str">
        <f>IFERROR(VLOOKUP(AA211,TD!$N$55:$O$70,2,0)," ")</f>
        <v>Sedes mantenidas</v>
      </c>
      <c r="AC211" s="168" t="str">
        <f>CONCATENATE(AA211,"_",AB211)</f>
        <v>016_Sedes mantenidas</v>
      </c>
      <c r="AD211" s="168" t="str">
        <f>CONCATENATE(Z211," ",AC211)</f>
        <v>08-Infraestructura física, mantenimiento y dotación (Sedes construidas, mantenidas reforzadas) 016_Sedes mantenidas</v>
      </c>
      <c r="AE211" s="167" t="str">
        <f>CONCATENATE(U211,V211,W211,X211,AA211)</f>
        <v>O23011745992024020708016</v>
      </c>
      <c r="AF211" s="167" t="str">
        <f>IFERROR(VLOOKUP(AD211,TD!$J$70:$K$93,2,0)," ")</f>
        <v>PM/0131/0108/45990160207</v>
      </c>
      <c r="AG211" s="114" t="s">
        <v>385</v>
      </c>
      <c r="AH211" s="166" t="s">
        <v>193</v>
      </c>
      <c r="AI211" s="169" t="str">
        <f>CONCATENATE(PAA[[#This Row],[Id Interno]],"-",PAA[[#This Row],[tipo de Contrato (TH talento humano - B/S bienes y/o servicios)]],"-",S211,"-",T211,"-",PAA[[#This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212" spans="2:35" ht="56" customHeight="1" x14ac:dyDescent="0.35">
      <c r="B212" s="23">
        <v>20260168</v>
      </c>
      <c r="C212" s="97" t="s">
        <v>458</v>
      </c>
      <c r="D212" s="23" t="s">
        <v>105</v>
      </c>
      <c r="E212" s="23" t="s">
        <v>363</v>
      </c>
      <c r="F212" s="163" t="s">
        <v>144</v>
      </c>
      <c r="G212" s="164" t="s">
        <v>373</v>
      </c>
      <c r="H212" s="165">
        <v>11</v>
      </c>
      <c r="I212" s="165">
        <v>0</v>
      </c>
      <c r="J212" s="122">
        <v>92400000</v>
      </c>
      <c r="K212" s="88" t="s">
        <v>398</v>
      </c>
      <c r="L212" s="163" t="s">
        <v>154</v>
      </c>
      <c r="M212" s="166" t="s">
        <v>438</v>
      </c>
      <c r="N212" s="23" t="s">
        <v>197</v>
      </c>
      <c r="O212" s="144" t="s">
        <v>886</v>
      </c>
      <c r="P212" s="163" t="s">
        <v>348</v>
      </c>
      <c r="Q212" s="53">
        <v>80111600</v>
      </c>
      <c r="R212" s="166" t="s">
        <v>208</v>
      </c>
      <c r="S212" s="166" t="str">
        <f>MID(PAA[[#This Row],[Meta Proyecto de Inversión]],1,4)</f>
        <v>8126</v>
      </c>
      <c r="T212" s="166" t="str">
        <f>MID(PAA[[#This Row],[Meta Proyecto de Inversión]],6,2)</f>
        <v>9-</v>
      </c>
      <c r="U212" s="167" t="str">
        <f>IFERROR(VLOOKUP(N212,TD!$B$54:$F$58,2,0)," ")</f>
        <v>O230117</v>
      </c>
      <c r="V212" s="167" t="str">
        <f>IFERROR(VLOOKUP(N212,TD!$B$54:$F$58,3,0)," ")</f>
        <v>4599</v>
      </c>
      <c r="W212" s="167">
        <f>IFERROR(VLOOKUP(N212,TD!$B$54:$F$58,4,0)," ")</f>
        <v>20240207</v>
      </c>
      <c r="X212" s="166" t="s">
        <v>174</v>
      </c>
      <c r="Y212" s="167" t="str">
        <f>IFERROR(VLOOKUP(X212,TD!$J$55:$K$68,2,0)," ")</f>
        <v>Infraestructura física, mantenimiento y dotación (Sedes construidas, mantenidas reforzadas)</v>
      </c>
      <c r="Z212" s="168" t="str">
        <f>CONCATENATE(X212,"-",Y212)</f>
        <v>08-Infraestructura física, mantenimiento y dotación (Sedes construidas, mantenidas reforzadas)</v>
      </c>
      <c r="AA212" s="171" t="s">
        <v>227</v>
      </c>
      <c r="AB212" s="167" t="str">
        <f>IFERROR(VLOOKUP(AA212,TD!$N$55:$O$70,2,0)," ")</f>
        <v>Sedes mantenidas</v>
      </c>
      <c r="AC212" s="168" t="str">
        <f>CONCATENATE(AA212,"_",AB212)</f>
        <v>016_Sedes mantenidas</v>
      </c>
      <c r="AD212" s="168" t="str">
        <f>CONCATENATE(Z212," ",AC212)</f>
        <v>08-Infraestructura física, mantenimiento y dotación (Sedes construidas, mantenidas reforzadas) 016_Sedes mantenidas</v>
      </c>
      <c r="AE212" s="167" t="str">
        <f>CONCATENATE(U212,V212,W212,X212,AA212)</f>
        <v>O23011745992024020708016</v>
      </c>
      <c r="AF212" s="167" t="str">
        <f>IFERROR(VLOOKUP(AD212,TD!$J$70:$K$93,2,0)," ")</f>
        <v>PM/0131/0108/45990160207</v>
      </c>
      <c r="AG212" s="114" t="s">
        <v>385</v>
      </c>
      <c r="AH212" s="166" t="s">
        <v>193</v>
      </c>
      <c r="AI212" s="169" t="str">
        <f>CONCATENATE(PAA[[#This Row],[Id Interno]],"-",PAA[[#This Row],[tipo de Contrato (TH talento humano - B/S bienes y/o servicios)]],"-",S212,"-",T212,"-",PAA[[#This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213" spans="2:35" ht="56" customHeight="1" x14ac:dyDescent="0.35">
      <c r="B213" s="23">
        <v>20260169</v>
      </c>
      <c r="C213" s="97" t="s">
        <v>459</v>
      </c>
      <c r="D213" s="23" t="s">
        <v>105</v>
      </c>
      <c r="E213" s="23" t="s">
        <v>363</v>
      </c>
      <c r="F213" s="163" t="s">
        <v>144</v>
      </c>
      <c r="G213" s="164" t="s">
        <v>373</v>
      </c>
      <c r="H213" s="165">
        <v>8</v>
      </c>
      <c r="I213" s="165">
        <v>0</v>
      </c>
      <c r="J213" s="122">
        <v>66400000</v>
      </c>
      <c r="K213" s="88" t="s">
        <v>398</v>
      </c>
      <c r="L213" s="163" t="s">
        <v>154</v>
      </c>
      <c r="M213" s="166" t="s">
        <v>438</v>
      </c>
      <c r="N213" s="23" t="s">
        <v>197</v>
      </c>
      <c r="O213" s="144" t="s">
        <v>886</v>
      </c>
      <c r="P213" s="163" t="s">
        <v>348</v>
      </c>
      <c r="Q213" s="53">
        <v>80111600</v>
      </c>
      <c r="R213" s="166" t="s">
        <v>208</v>
      </c>
      <c r="S213" s="166" t="str">
        <f>MID(PAA[[#This Row],[Meta Proyecto de Inversión]],1,4)</f>
        <v>8126</v>
      </c>
      <c r="T213" s="166" t="str">
        <f>MID(PAA[[#This Row],[Meta Proyecto de Inversión]],6,2)</f>
        <v>9-</v>
      </c>
      <c r="U213" s="167" t="str">
        <f>IFERROR(VLOOKUP(N213,TD!$B$54:$F$58,2,0)," ")</f>
        <v>O230117</v>
      </c>
      <c r="V213" s="167" t="str">
        <f>IFERROR(VLOOKUP(N213,TD!$B$54:$F$58,3,0)," ")</f>
        <v>4599</v>
      </c>
      <c r="W213" s="167">
        <f>IFERROR(VLOOKUP(N213,TD!$B$54:$F$58,4,0)," ")</f>
        <v>20240207</v>
      </c>
      <c r="X213" s="166" t="s">
        <v>174</v>
      </c>
      <c r="Y213" s="167" t="str">
        <f>IFERROR(VLOOKUP(X213,TD!$J$55:$K$68,2,0)," ")</f>
        <v>Infraestructura física, mantenimiento y dotación (Sedes construidas, mantenidas reforzadas)</v>
      </c>
      <c r="Z213" s="168" t="str">
        <f>CONCATENATE(X213,"-",Y213)</f>
        <v>08-Infraestructura física, mantenimiento y dotación (Sedes construidas, mantenidas reforzadas)</v>
      </c>
      <c r="AA213" s="171" t="s">
        <v>227</v>
      </c>
      <c r="AB213" s="167" t="str">
        <f>IFERROR(VLOOKUP(AA213,TD!$N$55:$O$70,2,0)," ")</f>
        <v>Sedes mantenidas</v>
      </c>
      <c r="AC213" s="168" t="str">
        <f>CONCATENATE(AA213,"_",AB213)</f>
        <v>016_Sedes mantenidas</v>
      </c>
      <c r="AD213" s="168" t="str">
        <f>CONCATENATE(Z213," ",AC213)</f>
        <v>08-Infraestructura física, mantenimiento y dotación (Sedes construidas, mantenidas reforzadas) 016_Sedes mantenidas</v>
      </c>
      <c r="AE213" s="167" t="str">
        <f>CONCATENATE(U213,V213,W213,X213,AA213)</f>
        <v>O23011745992024020708016</v>
      </c>
      <c r="AF213" s="167" t="str">
        <f>IFERROR(VLOOKUP(AD213,TD!$J$70:$K$93,2,0)," ")</f>
        <v>PM/0131/0108/45990160207</v>
      </c>
      <c r="AG213" s="114" t="s">
        <v>385</v>
      </c>
      <c r="AH213" s="166" t="s">
        <v>193</v>
      </c>
      <c r="AI213" s="169" t="str">
        <f>CONCATENATE(PAA[[#This Row],[Id Interno]],"-",PAA[[#This Row],[tipo de Contrato (TH talento humano - B/S bienes y/o servicios)]],"-",S213,"-",T213,"-",PAA[[#This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214" spans="2:35" ht="84" x14ac:dyDescent="0.35">
      <c r="B214" s="23">
        <v>20260170</v>
      </c>
      <c r="C214" s="97" t="s">
        <v>460</v>
      </c>
      <c r="D214" s="23" t="s">
        <v>105</v>
      </c>
      <c r="E214" s="23" t="s">
        <v>363</v>
      </c>
      <c r="F214" s="163" t="s">
        <v>144</v>
      </c>
      <c r="G214" s="164" t="s">
        <v>373</v>
      </c>
      <c r="H214" s="165">
        <v>11</v>
      </c>
      <c r="I214" s="165">
        <v>0</v>
      </c>
      <c r="J214" s="122">
        <v>60500000</v>
      </c>
      <c r="K214" s="88" t="s">
        <v>398</v>
      </c>
      <c r="L214" s="163" t="s">
        <v>154</v>
      </c>
      <c r="M214" s="166" t="s">
        <v>438</v>
      </c>
      <c r="N214" s="23" t="s">
        <v>197</v>
      </c>
      <c r="O214" s="144" t="s">
        <v>886</v>
      </c>
      <c r="P214" s="163" t="s">
        <v>348</v>
      </c>
      <c r="Q214" s="53">
        <v>80111600</v>
      </c>
      <c r="R214" s="166" t="s">
        <v>208</v>
      </c>
      <c r="S214" s="166" t="str">
        <f>MID(PAA[[#This Row],[Meta Proyecto de Inversión]],1,4)</f>
        <v>8126</v>
      </c>
      <c r="T214" s="166" t="str">
        <f>MID(PAA[[#This Row],[Meta Proyecto de Inversión]],6,2)</f>
        <v>9-</v>
      </c>
      <c r="U214" s="167" t="str">
        <f>IFERROR(VLOOKUP(N214,TD!$B$54:$F$58,2,0)," ")</f>
        <v>O230117</v>
      </c>
      <c r="V214" s="167" t="str">
        <f>IFERROR(VLOOKUP(N214,TD!$B$54:$F$58,3,0)," ")</f>
        <v>4599</v>
      </c>
      <c r="W214" s="167">
        <f>IFERROR(VLOOKUP(N214,TD!$B$54:$F$58,4,0)," ")</f>
        <v>20240207</v>
      </c>
      <c r="X214" s="166" t="s">
        <v>174</v>
      </c>
      <c r="Y214" s="167" t="str">
        <f>IFERROR(VLOOKUP(X214,TD!$J$55:$K$68,2,0)," ")</f>
        <v>Infraestructura física, mantenimiento y dotación (Sedes construidas, mantenidas reforzadas)</v>
      </c>
      <c r="Z214" s="168" t="str">
        <f>CONCATENATE(X214,"-",Y214)</f>
        <v>08-Infraestructura física, mantenimiento y dotación (Sedes construidas, mantenidas reforzadas)</v>
      </c>
      <c r="AA214" s="171" t="s">
        <v>227</v>
      </c>
      <c r="AB214" s="167" t="str">
        <f>IFERROR(VLOOKUP(AA214,TD!$N$55:$O$70,2,0)," ")</f>
        <v>Sedes mantenidas</v>
      </c>
      <c r="AC214" s="168" t="str">
        <f>CONCATENATE(AA214,"_",AB214)</f>
        <v>016_Sedes mantenidas</v>
      </c>
      <c r="AD214" s="168" t="str">
        <f>CONCATENATE(Z214," ",AC214)</f>
        <v>08-Infraestructura física, mantenimiento y dotación (Sedes construidas, mantenidas reforzadas) 016_Sedes mantenidas</v>
      </c>
      <c r="AE214" s="167" t="str">
        <f>CONCATENATE(U214,V214,W214,X214,AA214)</f>
        <v>O23011745992024020708016</v>
      </c>
      <c r="AF214" s="167" t="str">
        <f>IFERROR(VLOOKUP(AD214,TD!$J$70:$K$93,2,0)," ")</f>
        <v>PM/0131/0108/45990160207</v>
      </c>
      <c r="AG214" s="114" t="s">
        <v>385</v>
      </c>
      <c r="AH214" s="166" t="s">
        <v>193</v>
      </c>
      <c r="AI214" s="169" t="str">
        <f>CONCATENATE(PAA[[#This Row],[Id Interno]],"-",PAA[[#This Row],[tipo de Contrato (TH talento humano - B/S bienes y/o servicios)]],"-",S214,"-",T214,"-",PAA[[#This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215" spans="2:35" ht="84" customHeight="1" x14ac:dyDescent="0.35">
      <c r="B215" s="23">
        <v>20260171</v>
      </c>
      <c r="C215" s="97" t="s">
        <v>602</v>
      </c>
      <c r="D215" s="23" t="s">
        <v>105</v>
      </c>
      <c r="E215" s="23" t="s">
        <v>363</v>
      </c>
      <c r="F215" s="163" t="s">
        <v>144</v>
      </c>
      <c r="G215" s="164" t="s">
        <v>373</v>
      </c>
      <c r="H215" s="165">
        <v>7</v>
      </c>
      <c r="I215" s="165">
        <v>0</v>
      </c>
      <c r="J215" s="122">
        <v>37800000</v>
      </c>
      <c r="K215" s="88" t="s">
        <v>398</v>
      </c>
      <c r="L215" s="163" t="s">
        <v>154</v>
      </c>
      <c r="M215" s="166" t="s">
        <v>438</v>
      </c>
      <c r="N215" s="23" t="s">
        <v>197</v>
      </c>
      <c r="O215" s="144" t="s">
        <v>886</v>
      </c>
      <c r="P215" s="163" t="s">
        <v>348</v>
      </c>
      <c r="Q215" s="53">
        <v>80111600</v>
      </c>
      <c r="R215" s="166" t="s">
        <v>208</v>
      </c>
      <c r="S215" s="166" t="str">
        <f>MID(PAA[[#This Row],[Meta Proyecto de Inversión]],1,4)</f>
        <v>8126</v>
      </c>
      <c r="T215" s="166" t="str">
        <f>MID(PAA[[#This Row],[Meta Proyecto de Inversión]],6,2)</f>
        <v>9-</v>
      </c>
      <c r="U215" s="167" t="str">
        <f>IFERROR(VLOOKUP(N215,TD!$B$54:$F$58,2,0)," ")</f>
        <v>O230117</v>
      </c>
      <c r="V215" s="167" t="str">
        <f>IFERROR(VLOOKUP(N215,TD!$B$54:$F$58,3,0)," ")</f>
        <v>4599</v>
      </c>
      <c r="W215" s="167">
        <f>IFERROR(VLOOKUP(N215,TD!$B$54:$F$58,4,0)," ")</f>
        <v>20240207</v>
      </c>
      <c r="X215" s="166" t="s">
        <v>174</v>
      </c>
      <c r="Y215" s="167" t="str">
        <f>IFERROR(VLOOKUP(X215,TD!$J$55:$K$68,2,0)," ")</f>
        <v>Infraestructura física, mantenimiento y dotación (Sedes construidas, mantenidas reforzadas)</v>
      </c>
      <c r="Z215" s="168" t="str">
        <f>CONCATENATE(X215,"-",Y215)</f>
        <v>08-Infraestructura física, mantenimiento y dotación (Sedes construidas, mantenidas reforzadas)</v>
      </c>
      <c r="AA215" s="171" t="s">
        <v>227</v>
      </c>
      <c r="AB215" s="167" t="str">
        <f>IFERROR(VLOOKUP(AA215,TD!$N$55:$O$70,2,0)," ")</f>
        <v>Sedes mantenidas</v>
      </c>
      <c r="AC215" s="168" t="str">
        <f>CONCATENATE(AA215,"_",AB215)</f>
        <v>016_Sedes mantenidas</v>
      </c>
      <c r="AD215" s="168" t="str">
        <f>CONCATENATE(Z215," ",AC215)</f>
        <v>08-Infraestructura física, mantenimiento y dotación (Sedes construidas, mantenidas reforzadas) 016_Sedes mantenidas</v>
      </c>
      <c r="AE215" s="167" t="str">
        <f>CONCATENATE(U215,V215,W215,X215,AA215)</f>
        <v>O23011745992024020708016</v>
      </c>
      <c r="AF215" s="167" t="str">
        <f>IFERROR(VLOOKUP(AD215,TD!$J$70:$K$93,2,0)," ")</f>
        <v>PM/0131/0108/45990160207</v>
      </c>
      <c r="AG215" s="114" t="s">
        <v>385</v>
      </c>
      <c r="AH215" s="166" t="s">
        <v>193</v>
      </c>
      <c r="AI215" s="169" t="str">
        <f>CONCATENATE(PAA[[#This Row],[Id Interno]],"-",PAA[[#This Row],[tipo de Contrato (TH talento humano - B/S bienes y/o servicios)]],"-",S215,"-",T215,"-",PAA[[#This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216" spans="2:35" ht="84" customHeight="1" x14ac:dyDescent="0.35">
      <c r="B216" s="23">
        <v>20260172</v>
      </c>
      <c r="C216" s="97" t="s">
        <v>461</v>
      </c>
      <c r="D216" s="23" t="s">
        <v>105</v>
      </c>
      <c r="E216" s="23" t="s">
        <v>363</v>
      </c>
      <c r="F216" s="163" t="s">
        <v>144</v>
      </c>
      <c r="G216" s="164" t="s">
        <v>373</v>
      </c>
      <c r="H216" s="165">
        <v>7</v>
      </c>
      <c r="I216" s="165">
        <v>0</v>
      </c>
      <c r="J216" s="122">
        <v>37800000</v>
      </c>
      <c r="K216" s="88" t="s">
        <v>398</v>
      </c>
      <c r="L216" s="163" t="s">
        <v>154</v>
      </c>
      <c r="M216" s="166" t="s">
        <v>438</v>
      </c>
      <c r="N216" s="23" t="s">
        <v>197</v>
      </c>
      <c r="O216" s="144" t="s">
        <v>886</v>
      </c>
      <c r="P216" s="163" t="s">
        <v>348</v>
      </c>
      <c r="Q216" s="53">
        <v>80111600</v>
      </c>
      <c r="R216" s="166" t="s">
        <v>208</v>
      </c>
      <c r="S216" s="166" t="str">
        <f>MID(PAA[[#This Row],[Meta Proyecto de Inversión]],1,4)</f>
        <v>8126</v>
      </c>
      <c r="T216" s="166" t="str">
        <f>MID(PAA[[#This Row],[Meta Proyecto de Inversión]],6,2)</f>
        <v>9-</v>
      </c>
      <c r="U216" s="167" t="str">
        <f>IFERROR(VLOOKUP(N216,TD!$B$54:$F$58,2,0)," ")</f>
        <v>O230117</v>
      </c>
      <c r="V216" s="167" t="str">
        <f>IFERROR(VLOOKUP(N216,TD!$B$54:$F$58,3,0)," ")</f>
        <v>4599</v>
      </c>
      <c r="W216" s="167">
        <f>IFERROR(VLOOKUP(N216,TD!$B$54:$F$58,4,0)," ")</f>
        <v>20240207</v>
      </c>
      <c r="X216" s="166" t="s">
        <v>174</v>
      </c>
      <c r="Y216" s="167" t="str">
        <f>IFERROR(VLOOKUP(X216,TD!$J$55:$K$68,2,0)," ")</f>
        <v>Infraestructura física, mantenimiento y dotación (Sedes construidas, mantenidas reforzadas)</v>
      </c>
      <c r="Z216" s="168" t="str">
        <f>CONCATENATE(X216,"-",Y216)</f>
        <v>08-Infraestructura física, mantenimiento y dotación (Sedes construidas, mantenidas reforzadas)</v>
      </c>
      <c r="AA216" s="171" t="s">
        <v>227</v>
      </c>
      <c r="AB216" s="167" t="str">
        <f>IFERROR(VLOOKUP(AA216,TD!$N$55:$O$70,2,0)," ")</f>
        <v>Sedes mantenidas</v>
      </c>
      <c r="AC216" s="168" t="str">
        <f>CONCATENATE(AA216,"_",AB216)</f>
        <v>016_Sedes mantenidas</v>
      </c>
      <c r="AD216" s="168" t="str">
        <f>CONCATENATE(Z216," ",AC216)</f>
        <v>08-Infraestructura física, mantenimiento y dotación (Sedes construidas, mantenidas reforzadas) 016_Sedes mantenidas</v>
      </c>
      <c r="AE216" s="167" t="str">
        <f>CONCATENATE(U216,V216,W216,X216,AA216)</f>
        <v>O23011745992024020708016</v>
      </c>
      <c r="AF216" s="167" t="str">
        <f>IFERROR(VLOOKUP(AD216,TD!$J$70:$K$93,2,0)," ")</f>
        <v>PM/0131/0108/45990160207</v>
      </c>
      <c r="AG216" s="114" t="s">
        <v>385</v>
      </c>
      <c r="AH216" s="166" t="s">
        <v>193</v>
      </c>
      <c r="AI216" s="169" t="str">
        <f>CONCATENATE(PAA[[#This Row],[Id Interno]],"-",PAA[[#This Row],[tipo de Contrato (TH talento humano - B/S bienes y/o servicios)]],"-",S216,"-",T216,"-",PAA[[#This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217" spans="2:35" ht="84" x14ac:dyDescent="0.35">
      <c r="B217" s="23">
        <v>20260173</v>
      </c>
      <c r="C217" s="97" t="s">
        <v>603</v>
      </c>
      <c r="D217" s="23" t="s">
        <v>105</v>
      </c>
      <c r="E217" s="23" t="s">
        <v>363</v>
      </c>
      <c r="F217" s="163" t="s">
        <v>144</v>
      </c>
      <c r="G217" s="164" t="s">
        <v>373</v>
      </c>
      <c r="H217" s="165">
        <v>10</v>
      </c>
      <c r="I217" s="165">
        <v>0</v>
      </c>
      <c r="J217" s="122">
        <v>82000000</v>
      </c>
      <c r="K217" s="88" t="s">
        <v>398</v>
      </c>
      <c r="L217" s="163" t="s">
        <v>154</v>
      </c>
      <c r="M217" s="166" t="s">
        <v>438</v>
      </c>
      <c r="N217" s="23" t="s">
        <v>198</v>
      </c>
      <c r="O217" s="144" t="s">
        <v>887</v>
      </c>
      <c r="P217" s="163" t="s">
        <v>348</v>
      </c>
      <c r="Q217" s="53">
        <v>80111600</v>
      </c>
      <c r="R217" s="166" t="s">
        <v>218</v>
      </c>
      <c r="S217" s="166" t="str">
        <f>MID(PAA[[#This Row],[Meta Proyecto de Inversión]],1,4)</f>
        <v>8173</v>
      </c>
      <c r="T217" s="166" t="str">
        <f>MID(PAA[[#This Row],[Meta Proyecto de Inversión]],6,2)</f>
        <v>9-</v>
      </c>
      <c r="U217" s="167" t="str">
        <f>IFERROR(VLOOKUP(N217,TD!$B$54:$F$58,2,0)," ")</f>
        <v>O230117</v>
      </c>
      <c r="V217" s="167" t="str">
        <f>IFERROR(VLOOKUP(N217,TD!$B$54:$F$58,3,0)," ")</f>
        <v>4503</v>
      </c>
      <c r="W217" s="167">
        <f>IFERROR(VLOOKUP(N217,TD!$B$54:$F$58,4,0)," ")</f>
        <v>20240255</v>
      </c>
      <c r="X217" s="166" t="s">
        <v>172</v>
      </c>
      <c r="Y217" s="167" t="str">
        <f>IFERROR(VLOOKUP(X217,TD!$J$55:$K$68,2,0)," ")</f>
        <v>Servicio de formación en gestión del riesgo de incendios para el personal UAECOB</v>
      </c>
      <c r="Z217" s="168" t="str">
        <f>CONCATENATE(X217,"-",Y217)</f>
        <v>07-Servicio de formación en gestión del riesgo de incendios para el personal UAECOB</v>
      </c>
      <c r="AA217" s="171" t="s">
        <v>222</v>
      </c>
      <c r="AB217" s="167" t="str">
        <f>IFERROR(VLOOKUP(AA217,TD!$N$55:$O$70,2,0)," ")</f>
        <v>Servicio de educación informal</v>
      </c>
      <c r="AC217" s="168" t="str">
        <f>CONCATENATE(AA217,"_",AB217)</f>
        <v>002_Servicio de educación informal</v>
      </c>
      <c r="AD217" s="168" t="str">
        <f>CONCATENATE(Z217," ",AC217)</f>
        <v>07-Servicio de formación en gestión del riesgo de incendios para el personal UAECOB 002_Servicio de educación informal</v>
      </c>
      <c r="AE217" s="167" t="str">
        <f>CONCATENATE(U217,V217,W217,X217,AA217)</f>
        <v>O23011745032024025507002</v>
      </c>
      <c r="AF217" s="167" t="str">
        <f>IFERROR(VLOOKUP(AD217,TD!$J$70:$K$93,2,0)," ")</f>
        <v>PM/0131/0107/45030020255</v>
      </c>
      <c r="AG217" s="114" t="s">
        <v>385</v>
      </c>
      <c r="AH217" s="166" t="s">
        <v>193</v>
      </c>
      <c r="AI217" s="169" t="str">
        <f>CONCATENATE(PAA[[#This Row],[Id Interno]],"-",PAA[[#This Row],[tipo de Contrato (TH talento humano - B/S bienes y/o servicios)]],"-",S217,"-",T217,"-",PAA[[#This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218" spans="2:35" ht="84" customHeight="1" x14ac:dyDescent="0.35">
      <c r="B218" s="23">
        <v>20260174</v>
      </c>
      <c r="C218" s="97" t="s">
        <v>604</v>
      </c>
      <c r="D218" s="23" t="s">
        <v>105</v>
      </c>
      <c r="E218" s="23" t="s">
        <v>363</v>
      </c>
      <c r="F218" s="163" t="s">
        <v>144</v>
      </c>
      <c r="G218" s="164" t="s">
        <v>373</v>
      </c>
      <c r="H218" s="165">
        <v>11</v>
      </c>
      <c r="I218" s="165">
        <v>0</v>
      </c>
      <c r="J218" s="122">
        <v>57200000</v>
      </c>
      <c r="K218" s="88" t="s">
        <v>398</v>
      </c>
      <c r="L218" s="163" t="s">
        <v>154</v>
      </c>
      <c r="M218" s="166" t="s">
        <v>438</v>
      </c>
      <c r="N218" s="23" t="s">
        <v>198</v>
      </c>
      <c r="O218" s="144" t="s">
        <v>887</v>
      </c>
      <c r="P218" s="163" t="s">
        <v>348</v>
      </c>
      <c r="Q218" s="53">
        <v>80111600</v>
      </c>
      <c r="R218" s="166" t="s">
        <v>218</v>
      </c>
      <c r="S218" s="166" t="str">
        <f>MID(PAA[[#This Row],[Meta Proyecto de Inversión]],1,4)</f>
        <v>8173</v>
      </c>
      <c r="T218" s="166" t="str">
        <f>MID(PAA[[#This Row],[Meta Proyecto de Inversión]],6,2)</f>
        <v>9-</v>
      </c>
      <c r="U218" s="167" t="str">
        <f>IFERROR(VLOOKUP(N218,TD!$B$54:$F$58,2,0)," ")</f>
        <v>O230117</v>
      </c>
      <c r="V218" s="167" t="str">
        <f>IFERROR(VLOOKUP(N218,TD!$B$54:$F$58,3,0)," ")</f>
        <v>4503</v>
      </c>
      <c r="W218" s="167">
        <f>IFERROR(VLOOKUP(N218,TD!$B$54:$F$58,4,0)," ")</f>
        <v>20240255</v>
      </c>
      <c r="X218" s="166" t="s">
        <v>172</v>
      </c>
      <c r="Y218" s="167" t="str">
        <f>IFERROR(VLOOKUP(X218,TD!$J$55:$K$68,2,0)," ")</f>
        <v>Servicio de formación en gestión del riesgo de incendios para el personal UAECOB</v>
      </c>
      <c r="Z218" s="168" t="str">
        <f>CONCATENATE(X218,"-",Y218)</f>
        <v>07-Servicio de formación en gestión del riesgo de incendios para el personal UAECOB</v>
      </c>
      <c r="AA218" s="171" t="s">
        <v>222</v>
      </c>
      <c r="AB218" s="167" t="str">
        <f>IFERROR(VLOOKUP(AA218,TD!$N$55:$O$70,2,0)," ")</f>
        <v>Servicio de educación informal</v>
      </c>
      <c r="AC218" s="168" t="str">
        <f>CONCATENATE(AA218,"_",AB218)</f>
        <v>002_Servicio de educación informal</v>
      </c>
      <c r="AD218" s="168" t="str">
        <f>CONCATENATE(Z218," ",AC218)</f>
        <v>07-Servicio de formación en gestión del riesgo de incendios para el personal UAECOB 002_Servicio de educación informal</v>
      </c>
      <c r="AE218" s="167" t="str">
        <f>CONCATENATE(U218,V218,W218,X218,AA218)</f>
        <v>O23011745032024025507002</v>
      </c>
      <c r="AF218" s="167" t="str">
        <f>IFERROR(VLOOKUP(AD218,TD!$J$70:$K$93,2,0)," ")</f>
        <v>PM/0131/0107/45030020255</v>
      </c>
      <c r="AG218" s="114" t="s">
        <v>385</v>
      </c>
      <c r="AH218" s="166" t="s">
        <v>193</v>
      </c>
      <c r="AI218" s="169" t="str">
        <f>CONCATENATE(PAA[[#This Row],[Id Interno]],"-",PAA[[#This Row],[tipo de Contrato (TH talento humano - B/S bienes y/o servicios)]],"-",S218,"-",T218,"-",PAA[[#This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219" spans="2:35" ht="84" customHeight="1" x14ac:dyDescent="0.35">
      <c r="B219" s="23">
        <v>20260175</v>
      </c>
      <c r="C219" s="97" t="s">
        <v>605</v>
      </c>
      <c r="D219" s="23" t="s">
        <v>105</v>
      </c>
      <c r="E219" s="23" t="s">
        <v>363</v>
      </c>
      <c r="F219" s="163" t="s">
        <v>144</v>
      </c>
      <c r="G219" s="164" t="s">
        <v>373</v>
      </c>
      <c r="H219" s="165">
        <v>10</v>
      </c>
      <c r="I219" s="165">
        <v>0</v>
      </c>
      <c r="J219" s="122">
        <v>72000000</v>
      </c>
      <c r="K219" s="88" t="s">
        <v>398</v>
      </c>
      <c r="L219" s="163" t="s">
        <v>154</v>
      </c>
      <c r="M219" s="166" t="s">
        <v>438</v>
      </c>
      <c r="N219" s="23" t="s">
        <v>198</v>
      </c>
      <c r="O219" s="144" t="s">
        <v>887</v>
      </c>
      <c r="P219" s="163" t="s">
        <v>348</v>
      </c>
      <c r="Q219" s="53">
        <v>80111600</v>
      </c>
      <c r="R219" s="166" t="s">
        <v>218</v>
      </c>
      <c r="S219" s="166" t="str">
        <f>MID(PAA[[#This Row],[Meta Proyecto de Inversión]],1,4)</f>
        <v>8173</v>
      </c>
      <c r="T219" s="166" t="str">
        <f>MID(PAA[[#This Row],[Meta Proyecto de Inversión]],6,2)</f>
        <v>9-</v>
      </c>
      <c r="U219" s="167" t="str">
        <f>IFERROR(VLOOKUP(N219,TD!$B$54:$F$58,2,0)," ")</f>
        <v>O230117</v>
      </c>
      <c r="V219" s="167" t="str">
        <f>IFERROR(VLOOKUP(N219,TD!$B$54:$F$58,3,0)," ")</f>
        <v>4503</v>
      </c>
      <c r="W219" s="167">
        <f>IFERROR(VLOOKUP(N219,TD!$B$54:$F$58,4,0)," ")</f>
        <v>20240255</v>
      </c>
      <c r="X219" s="166" t="s">
        <v>172</v>
      </c>
      <c r="Y219" s="167" t="str">
        <f>IFERROR(VLOOKUP(X219,TD!$J$55:$K$68,2,0)," ")</f>
        <v>Servicio de formación en gestión del riesgo de incendios para el personal UAECOB</v>
      </c>
      <c r="Z219" s="168" t="str">
        <f>CONCATENATE(X219,"-",Y219)</f>
        <v>07-Servicio de formación en gestión del riesgo de incendios para el personal UAECOB</v>
      </c>
      <c r="AA219" s="171" t="s">
        <v>222</v>
      </c>
      <c r="AB219" s="167" t="str">
        <f>IFERROR(VLOOKUP(AA219,TD!$N$55:$O$70,2,0)," ")</f>
        <v>Servicio de educación informal</v>
      </c>
      <c r="AC219" s="168" t="str">
        <f>CONCATENATE(AA219,"_",AB219)</f>
        <v>002_Servicio de educación informal</v>
      </c>
      <c r="AD219" s="168" t="str">
        <f>CONCATENATE(Z219," ",AC219)</f>
        <v>07-Servicio de formación en gestión del riesgo de incendios para el personal UAECOB 002_Servicio de educación informal</v>
      </c>
      <c r="AE219" s="167" t="str">
        <f>CONCATENATE(U219,V219,W219,X219,AA219)</f>
        <v>O23011745032024025507002</v>
      </c>
      <c r="AF219" s="167" t="str">
        <f>IFERROR(VLOOKUP(AD219,TD!$J$70:$K$93,2,0)," ")</f>
        <v>PM/0131/0107/45030020255</v>
      </c>
      <c r="AG219" s="114" t="s">
        <v>385</v>
      </c>
      <c r="AH219" s="166" t="s">
        <v>193</v>
      </c>
      <c r="AI219" s="169" t="str">
        <f>CONCATENATE(PAA[[#This Row],[Id Interno]],"-",PAA[[#This Row],[tipo de Contrato (TH talento humano - B/S bienes y/o servicios)]],"-",S219,"-",T219,"-",PAA[[#This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220" spans="2:35" ht="84" x14ac:dyDescent="0.35">
      <c r="B220" s="23">
        <v>20260176</v>
      </c>
      <c r="C220" s="97" t="s">
        <v>606</v>
      </c>
      <c r="D220" s="23" t="s">
        <v>105</v>
      </c>
      <c r="E220" s="23" t="s">
        <v>363</v>
      </c>
      <c r="F220" s="163" t="s">
        <v>145</v>
      </c>
      <c r="G220" s="164" t="s">
        <v>373</v>
      </c>
      <c r="H220" s="165">
        <v>11</v>
      </c>
      <c r="I220" s="165">
        <v>0</v>
      </c>
      <c r="J220" s="122">
        <v>40700000</v>
      </c>
      <c r="K220" s="88" t="s">
        <v>398</v>
      </c>
      <c r="L220" s="163" t="s">
        <v>154</v>
      </c>
      <c r="M220" s="166" t="s">
        <v>438</v>
      </c>
      <c r="N220" s="23" t="s">
        <v>198</v>
      </c>
      <c r="O220" s="144" t="s">
        <v>887</v>
      </c>
      <c r="P220" s="163" t="s">
        <v>348</v>
      </c>
      <c r="Q220" s="53">
        <v>80111600</v>
      </c>
      <c r="R220" s="166" t="s">
        <v>218</v>
      </c>
      <c r="S220" s="166" t="str">
        <f>MID(PAA[[#This Row],[Meta Proyecto de Inversión]],1,4)</f>
        <v>8173</v>
      </c>
      <c r="T220" s="166" t="str">
        <f>MID(PAA[[#This Row],[Meta Proyecto de Inversión]],6,2)</f>
        <v>9-</v>
      </c>
      <c r="U220" s="167" t="str">
        <f>IFERROR(VLOOKUP(N220,TD!$B$54:$F$58,2,0)," ")</f>
        <v>O230117</v>
      </c>
      <c r="V220" s="167" t="str">
        <f>IFERROR(VLOOKUP(N220,TD!$B$54:$F$58,3,0)," ")</f>
        <v>4503</v>
      </c>
      <c r="W220" s="167">
        <f>IFERROR(VLOOKUP(N220,TD!$B$54:$F$58,4,0)," ")</f>
        <v>20240255</v>
      </c>
      <c r="X220" s="166" t="s">
        <v>172</v>
      </c>
      <c r="Y220" s="167" t="str">
        <f>IFERROR(VLOOKUP(X220,TD!$J$55:$K$68,2,0)," ")</f>
        <v>Servicio de formación en gestión del riesgo de incendios para el personal UAECOB</v>
      </c>
      <c r="Z220" s="168" t="str">
        <f>CONCATENATE(X220,"-",Y220)</f>
        <v>07-Servicio de formación en gestión del riesgo de incendios para el personal UAECOB</v>
      </c>
      <c r="AA220" s="171" t="s">
        <v>222</v>
      </c>
      <c r="AB220" s="167" t="str">
        <f>IFERROR(VLOOKUP(AA220,TD!$N$55:$O$70,2,0)," ")</f>
        <v>Servicio de educación informal</v>
      </c>
      <c r="AC220" s="168" t="str">
        <f>CONCATENATE(AA220,"_",AB220)</f>
        <v>002_Servicio de educación informal</v>
      </c>
      <c r="AD220" s="168" t="str">
        <f>CONCATENATE(Z220," ",AC220)</f>
        <v>07-Servicio de formación en gestión del riesgo de incendios para el personal UAECOB 002_Servicio de educación informal</v>
      </c>
      <c r="AE220" s="167" t="str">
        <f>CONCATENATE(U220,V220,W220,X220,AA220)</f>
        <v>O23011745032024025507002</v>
      </c>
      <c r="AF220" s="167" t="str">
        <f>IFERROR(VLOOKUP(AD220,TD!$J$70:$K$93,2,0)," ")</f>
        <v>PM/0131/0107/45030020255</v>
      </c>
      <c r="AG220" s="114" t="s">
        <v>385</v>
      </c>
      <c r="AH220" s="166" t="s">
        <v>193</v>
      </c>
      <c r="AI220" s="169" t="str">
        <f>CONCATENATE(PAA[[#This Row],[Id Interno]],"-",PAA[[#This Row],[tipo de Contrato (TH talento humano - B/S bienes y/o servicios)]],"-",S220,"-",T220,"-",PAA[[#This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221" spans="2:35" ht="98" x14ac:dyDescent="0.35">
      <c r="B221" s="23">
        <v>20260177</v>
      </c>
      <c r="C221" s="97" t="s">
        <v>607</v>
      </c>
      <c r="D221" s="23" t="s">
        <v>105</v>
      </c>
      <c r="E221" s="23" t="s">
        <v>363</v>
      </c>
      <c r="F221" s="163" t="s">
        <v>144</v>
      </c>
      <c r="G221" s="164" t="s">
        <v>373</v>
      </c>
      <c r="H221" s="165">
        <v>11</v>
      </c>
      <c r="I221" s="165">
        <v>0</v>
      </c>
      <c r="J221" s="122">
        <v>81400000</v>
      </c>
      <c r="K221" s="88" t="s">
        <v>398</v>
      </c>
      <c r="L221" s="163" t="s">
        <v>154</v>
      </c>
      <c r="M221" s="166" t="s">
        <v>438</v>
      </c>
      <c r="N221" s="23" t="s">
        <v>198</v>
      </c>
      <c r="O221" s="144" t="s">
        <v>887</v>
      </c>
      <c r="P221" s="163" t="s">
        <v>348</v>
      </c>
      <c r="Q221" s="53">
        <v>80111600</v>
      </c>
      <c r="R221" s="166" t="s">
        <v>218</v>
      </c>
      <c r="S221" s="166" t="str">
        <f>MID(PAA[[#This Row],[Meta Proyecto de Inversión]],1,4)</f>
        <v>8173</v>
      </c>
      <c r="T221" s="166" t="str">
        <f>MID(PAA[[#This Row],[Meta Proyecto de Inversión]],6,2)</f>
        <v>9-</v>
      </c>
      <c r="U221" s="167" t="str">
        <f>IFERROR(VLOOKUP(N221,TD!$B$54:$F$58,2,0)," ")</f>
        <v>O230117</v>
      </c>
      <c r="V221" s="167" t="str">
        <f>IFERROR(VLOOKUP(N221,TD!$B$54:$F$58,3,0)," ")</f>
        <v>4503</v>
      </c>
      <c r="W221" s="167">
        <f>IFERROR(VLOOKUP(N221,TD!$B$54:$F$58,4,0)," ")</f>
        <v>20240255</v>
      </c>
      <c r="X221" s="166" t="s">
        <v>172</v>
      </c>
      <c r="Y221" s="167" t="str">
        <f>IFERROR(VLOOKUP(X221,TD!$J$55:$K$68,2,0)," ")</f>
        <v>Servicio de formación en gestión del riesgo de incendios para el personal UAECOB</v>
      </c>
      <c r="Z221" s="168" t="str">
        <f>CONCATENATE(X221,"-",Y221)</f>
        <v>07-Servicio de formación en gestión del riesgo de incendios para el personal UAECOB</v>
      </c>
      <c r="AA221" s="171" t="s">
        <v>222</v>
      </c>
      <c r="AB221" s="167" t="str">
        <f>IFERROR(VLOOKUP(AA221,TD!$N$55:$O$70,2,0)," ")</f>
        <v>Servicio de educación informal</v>
      </c>
      <c r="AC221" s="168" t="str">
        <f>CONCATENATE(AA221,"_",AB221)</f>
        <v>002_Servicio de educación informal</v>
      </c>
      <c r="AD221" s="168" t="str">
        <f>CONCATENATE(Z221," ",AC221)</f>
        <v>07-Servicio de formación en gestión del riesgo de incendios para el personal UAECOB 002_Servicio de educación informal</v>
      </c>
      <c r="AE221" s="167" t="str">
        <f>CONCATENATE(U221,V221,W221,X221,AA221)</f>
        <v>O23011745032024025507002</v>
      </c>
      <c r="AF221" s="167" t="str">
        <f>IFERROR(VLOOKUP(AD221,TD!$J$70:$K$93,2,0)," ")</f>
        <v>PM/0131/0107/45030020255</v>
      </c>
      <c r="AG221" s="114" t="s">
        <v>385</v>
      </c>
      <c r="AH221" s="166" t="s">
        <v>193</v>
      </c>
      <c r="AI221" s="169" t="str">
        <f>CONCATENATE(PAA[[#This Row],[Id Interno]],"-",PAA[[#This Row],[tipo de Contrato (TH talento humano - B/S bienes y/o servicios)]],"-",S221,"-",T221,"-",PAA[[#This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222" spans="2:35" ht="70" x14ac:dyDescent="0.35">
      <c r="B222" s="23">
        <v>20260178</v>
      </c>
      <c r="C222" s="97" t="s">
        <v>608</v>
      </c>
      <c r="D222" s="23" t="s">
        <v>105</v>
      </c>
      <c r="E222" s="23" t="s">
        <v>363</v>
      </c>
      <c r="F222" s="163" t="s">
        <v>144</v>
      </c>
      <c r="G222" s="164" t="s">
        <v>373</v>
      </c>
      <c r="H222" s="165">
        <v>11</v>
      </c>
      <c r="I222" s="165">
        <v>0</v>
      </c>
      <c r="J222" s="122">
        <v>84700000</v>
      </c>
      <c r="K222" s="88" t="s">
        <v>398</v>
      </c>
      <c r="L222" s="163" t="s">
        <v>154</v>
      </c>
      <c r="M222" s="166" t="s">
        <v>438</v>
      </c>
      <c r="N222" s="23" t="s">
        <v>198</v>
      </c>
      <c r="O222" s="144" t="s">
        <v>887</v>
      </c>
      <c r="P222" s="163" t="s">
        <v>348</v>
      </c>
      <c r="Q222" s="53">
        <v>80111600</v>
      </c>
      <c r="R222" s="166" t="s">
        <v>218</v>
      </c>
      <c r="S222" s="166" t="str">
        <f>MID(PAA[[#This Row],[Meta Proyecto de Inversión]],1,4)</f>
        <v>8173</v>
      </c>
      <c r="T222" s="166" t="str">
        <f>MID(PAA[[#This Row],[Meta Proyecto de Inversión]],6,2)</f>
        <v>9-</v>
      </c>
      <c r="U222" s="167" t="str">
        <f>IFERROR(VLOOKUP(N222,TD!$B$54:$F$58,2,0)," ")</f>
        <v>O230117</v>
      </c>
      <c r="V222" s="167" t="str">
        <f>IFERROR(VLOOKUP(N222,TD!$B$54:$F$58,3,0)," ")</f>
        <v>4503</v>
      </c>
      <c r="W222" s="167">
        <f>IFERROR(VLOOKUP(N222,TD!$B$54:$F$58,4,0)," ")</f>
        <v>20240255</v>
      </c>
      <c r="X222" s="166" t="s">
        <v>172</v>
      </c>
      <c r="Y222" s="167" t="str">
        <f>IFERROR(VLOOKUP(X222,TD!$J$55:$K$68,2,0)," ")</f>
        <v>Servicio de formación en gestión del riesgo de incendios para el personal UAECOB</v>
      </c>
      <c r="Z222" s="168" t="str">
        <f>CONCATENATE(X222,"-",Y222)</f>
        <v>07-Servicio de formación en gestión del riesgo de incendios para el personal UAECOB</v>
      </c>
      <c r="AA222" s="171" t="s">
        <v>222</v>
      </c>
      <c r="AB222" s="167" t="str">
        <f>IFERROR(VLOOKUP(AA222,TD!$N$55:$O$70,2,0)," ")</f>
        <v>Servicio de educación informal</v>
      </c>
      <c r="AC222" s="168" t="str">
        <f>CONCATENATE(AA222,"_",AB222)</f>
        <v>002_Servicio de educación informal</v>
      </c>
      <c r="AD222" s="168" t="str">
        <f>CONCATENATE(Z222," ",AC222)</f>
        <v>07-Servicio de formación en gestión del riesgo de incendios para el personal UAECOB 002_Servicio de educación informal</v>
      </c>
      <c r="AE222" s="167" t="str">
        <f>CONCATENATE(U222,V222,W222,X222,AA222)</f>
        <v>O23011745032024025507002</v>
      </c>
      <c r="AF222" s="167" t="str">
        <f>IFERROR(VLOOKUP(AD222,TD!$J$70:$K$93,2,0)," ")</f>
        <v>PM/0131/0107/45030020255</v>
      </c>
      <c r="AG222" s="114" t="s">
        <v>385</v>
      </c>
      <c r="AH222" s="166" t="s">
        <v>193</v>
      </c>
      <c r="AI222" s="169" t="str">
        <f>CONCATENATE(PAA[[#This Row],[Id Interno]],"-",PAA[[#This Row],[tipo de Contrato (TH talento humano - B/S bienes y/o servicios)]],"-",S222,"-",T222,"-",PAA[[#This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223" spans="2:35" ht="84" customHeight="1" x14ac:dyDescent="0.35">
      <c r="B223" s="23">
        <v>20260179</v>
      </c>
      <c r="C223" s="97" t="s">
        <v>609</v>
      </c>
      <c r="D223" s="23" t="s">
        <v>105</v>
      </c>
      <c r="E223" s="23" t="s">
        <v>363</v>
      </c>
      <c r="F223" s="163" t="s">
        <v>144</v>
      </c>
      <c r="G223" s="164" t="s">
        <v>373</v>
      </c>
      <c r="H223" s="165">
        <v>10</v>
      </c>
      <c r="I223" s="165">
        <v>0</v>
      </c>
      <c r="J223" s="122">
        <v>55000000</v>
      </c>
      <c r="K223" s="88" t="s">
        <v>398</v>
      </c>
      <c r="L223" s="163" t="s">
        <v>154</v>
      </c>
      <c r="M223" s="166" t="s">
        <v>438</v>
      </c>
      <c r="N223" s="23" t="s">
        <v>198</v>
      </c>
      <c r="O223" s="144" t="s">
        <v>887</v>
      </c>
      <c r="P223" s="163" t="s">
        <v>348</v>
      </c>
      <c r="Q223" s="53">
        <v>80111600</v>
      </c>
      <c r="R223" s="166" t="s">
        <v>218</v>
      </c>
      <c r="S223" s="166" t="str">
        <f>MID(PAA[[#This Row],[Meta Proyecto de Inversión]],1,4)</f>
        <v>8173</v>
      </c>
      <c r="T223" s="166" t="str">
        <f>MID(PAA[[#This Row],[Meta Proyecto de Inversión]],6,2)</f>
        <v>9-</v>
      </c>
      <c r="U223" s="167" t="str">
        <f>IFERROR(VLOOKUP(N223,TD!$B$54:$F$58,2,0)," ")</f>
        <v>O230117</v>
      </c>
      <c r="V223" s="167" t="str">
        <f>IFERROR(VLOOKUP(N223,TD!$B$54:$F$58,3,0)," ")</f>
        <v>4503</v>
      </c>
      <c r="W223" s="167">
        <f>IFERROR(VLOOKUP(N223,TD!$B$54:$F$58,4,0)," ")</f>
        <v>20240255</v>
      </c>
      <c r="X223" s="166" t="s">
        <v>172</v>
      </c>
      <c r="Y223" s="167" t="str">
        <f>IFERROR(VLOOKUP(X223,TD!$J$55:$K$68,2,0)," ")</f>
        <v>Servicio de formación en gestión del riesgo de incendios para el personal UAECOB</v>
      </c>
      <c r="Z223" s="168" t="str">
        <f>CONCATENATE(X223,"-",Y223)</f>
        <v>07-Servicio de formación en gestión del riesgo de incendios para el personal UAECOB</v>
      </c>
      <c r="AA223" s="171" t="s">
        <v>222</v>
      </c>
      <c r="AB223" s="167" t="str">
        <f>IFERROR(VLOOKUP(AA223,TD!$N$55:$O$70,2,0)," ")</f>
        <v>Servicio de educación informal</v>
      </c>
      <c r="AC223" s="168" t="str">
        <f>CONCATENATE(AA223,"_",AB223)</f>
        <v>002_Servicio de educación informal</v>
      </c>
      <c r="AD223" s="168" t="str">
        <f>CONCATENATE(Z223," ",AC223)</f>
        <v>07-Servicio de formación en gestión del riesgo de incendios para el personal UAECOB 002_Servicio de educación informal</v>
      </c>
      <c r="AE223" s="167" t="str">
        <f>CONCATENATE(U223,V223,W223,X223,AA223)</f>
        <v>O23011745032024025507002</v>
      </c>
      <c r="AF223" s="167" t="str">
        <f>IFERROR(VLOOKUP(AD223,TD!$J$70:$K$93,2,0)," ")</f>
        <v>PM/0131/0107/45030020255</v>
      </c>
      <c r="AG223" s="114" t="s">
        <v>385</v>
      </c>
      <c r="AH223" s="166" t="s">
        <v>193</v>
      </c>
      <c r="AI223" s="169" t="str">
        <f>CONCATENATE(PAA[[#This Row],[Id Interno]],"-",PAA[[#This Row],[tipo de Contrato (TH talento humano - B/S bienes y/o servicios)]],"-",S223,"-",T223,"-",PAA[[#This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224" spans="2:35" ht="112" x14ac:dyDescent="0.35">
      <c r="B224" s="23">
        <v>20260180</v>
      </c>
      <c r="C224" s="97" t="s">
        <v>610</v>
      </c>
      <c r="D224" s="23" t="s">
        <v>105</v>
      </c>
      <c r="E224" s="23" t="s">
        <v>363</v>
      </c>
      <c r="F224" s="163" t="s">
        <v>145</v>
      </c>
      <c r="G224" s="164" t="s">
        <v>373</v>
      </c>
      <c r="H224" s="165">
        <v>8</v>
      </c>
      <c r="I224" s="165">
        <v>0</v>
      </c>
      <c r="J224" s="122">
        <v>26000000</v>
      </c>
      <c r="K224" s="88" t="s">
        <v>398</v>
      </c>
      <c r="L224" s="163" t="s">
        <v>154</v>
      </c>
      <c r="M224" s="166" t="s">
        <v>438</v>
      </c>
      <c r="N224" s="23" t="s">
        <v>198</v>
      </c>
      <c r="O224" s="144" t="s">
        <v>887</v>
      </c>
      <c r="P224" s="163" t="s">
        <v>348</v>
      </c>
      <c r="Q224" s="53">
        <v>80111600</v>
      </c>
      <c r="R224" s="166" t="s">
        <v>218</v>
      </c>
      <c r="S224" s="166" t="str">
        <f>MID(PAA[[#This Row],[Meta Proyecto de Inversión]],1,4)</f>
        <v>8173</v>
      </c>
      <c r="T224" s="166" t="str">
        <f>MID(PAA[[#This Row],[Meta Proyecto de Inversión]],6,2)</f>
        <v>9-</v>
      </c>
      <c r="U224" s="167" t="str">
        <f>IFERROR(VLOOKUP(N224,TD!$B$54:$F$58,2,0)," ")</f>
        <v>O230117</v>
      </c>
      <c r="V224" s="167" t="str">
        <f>IFERROR(VLOOKUP(N224,TD!$B$54:$F$58,3,0)," ")</f>
        <v>4503</v>
      </c>
      <c r="W224" s="167">
        <f>IFERROR(VLOOKUP(N224,TD!$B$54:$F$58,4,0)," ")</f>
        <v>20240255</v>
      </c>
      <c r="X224" s="166" t="s">
        <v>172</v>
      </c>
      <c r="Y224" s="167" t="str">
        <f>IFERROR(VLOOKUP(X224,TD!$J$55:$K$68,2,0)," ")</f>
        <v>Servicio de formación en gestión del riesgo de incendios para el personal UAECOB</v>
      </c>
      <c r="Z224" s="168" t="str">
        <f>CONCATENATE(X224,"-",Y224)</f>
        <v>07-Servicio de formación en gestión del riesgo de incendios para el personal UAECOB</v>
      </c>
      <c r="AA224" s="171" t="s">
        <v>222</v>
      </c>
      <c r="AB224" s="167" t="str">
        <f>IFERROR(VLOOKUP(AA224,TD!$N$55:$O$70,2,0)," ")</f>
        <v>Servicio de educación informal</v>
      </c>
      <c r="AC224" s="168" t="str">
        <f>CONCATENATE(AA224,"_",AB224)</f>
        <v>002_Servicio de educación informal</v>
      </c>
      <c r="AD224" s="168" t="str">
        <f>CONCATENATE(Z224," ",AC224)</f>
        <v>07-Servicio de formación en gestión del riesgo de incendios para el personal UAECOB 002_Servicio de educación informal</v>
      </c>
      <c r="AE224" s="167" t="str">
        <f>CONCATENATE(U224,V224,W224,X224,AA224)</f>
        <v>O23011745032024025507002</v>
      </c>
      <c r="AF224" s="167" t="str">
        <f>IFERROR(VLOOKUP(AD224,TD!$J$70:$K$93,2,0)," ")</f>
        <v>PM/0131/0107/45030020255</v>
      </c>
      <c r="AG224" s="114" t="s">
        <v>385</v>
      </c>
      <c r="AH224" s="166" t="s">
        <v>193</v>
      </c>
      <c r="AI224" s="169" t="str">
        <f>CONCATENATE(PAA[[#This Row],[Id Interno]],"-",PAA[[#This Row],[tipo de Contrato (TH talento humano - B/S bienes y/o servicios)]],"-",S224,"-",T224,"-",PAA[[#This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225" spans="2:35" ht="84" x14ac:dyDescent="0.35">
      <c r="B225" s="23">
        <v>20260181</v>
      </c>
      <c r="C225" s="97" t="s">
        <v>611</v>
      </c>
      <c r="D225" s="23" t="s">
        <v>105</v>
      </c>
      <c r="E225" s="23" t="s">
        <v>363</v>
      </c>
      <c r="F225" s="163" t="s">
        <v>144</v>
      </c>
      <c r="G225" s="164" t="s">
        <v>373</v>
      </c>
      <c r="H225" s="165">
        <v>11</v>
      </c>
      <c r="I225" s="165">
        <v>0</v>
      </c>
      <c r="J225" s="122">
        <v>96800000</v>
      </c>
      <c r="K225" s="88" t="s">
        <v>398</v>
      </c>
      <c r="L225" s="163" t="s">
        <v>154</v>
      </c>
      <c r="M225" s="166" t="s">
        <v>438</v>
      </c>
      <c r="N225" s="23" t="s">
        <v>198</v>
      </c>
      <c r="O225" s="144" t="s">
        <v>887</v>
      </c>
      <c r="P225" s="163" t="s">
        <v>348</v>
      </c>
      <c r="Q225" s="53">
        <v>80111600</v>
      </c>
      <c r="R225" s="166" t="s">
        <v>218</v>
      </c>
      <c r="S225" s="166" t="str">
        <f>MID(PAA[[#This Row],[Meta Proyecto de Inversión]],1,4)</f>
        <v>8173</v>
      </c>
      <c r="T225" s="166" t="str">
        <f>MID(PAA[[#This Row],[Meta Proyecto de Inversión]],6,2)</f>
        <v>9-</v>
      </c>
      <c r="U225" s="167" t="str">
        <f>IFERROR(VLOOKUP(N225,TD!$B$54:$F$58,2,0)," ")</f>
        <v>O230117</v>
      </c>
      <c r="V225" s="167" t="str">
        <f>IFERROR(VLOOKUP(N225,TD!$B$54:$F$58,3,0)," ")</f>
        <v>4503</v>
      </c>
      <c r="W225" s="167">
        <f>IFERROR(VLOOKUP(N225,TD!$B$54:$F$58,4,0)," ")</f>
        <v>20240255</v>
      </c>
      <c r="X225" s="166" t="s">
        <v>172</v>
      </c>
      <c r="Y225" s="167" t="str">
        <f>IFERROR(VLOOKUP(X225,TD!$J$55:$K$68,2,0)," ")</f>
        <v>Servicio de formación en gestión del riesgo de incendios para el personal UAECOB</v>
      </c>
      <c r="Z225" s="168" t="str">
        <f>CONCATENATE(X225,"-",Y225)</f>
        <v>07-Servicio de formación en gestión del riesgo de incendios para el personal UAECOB</v>
      </c>
      <c r="AA225" s="171" t="s">
        <v>222</v>
      </c>
      <c r="AB225" s="167" t="str">
        <f>IFERROR(VLOOKUP(AA225,TD!$N$55:$O$70,2,0)," ")</f>
        <v>Servicio de educación informal</v>
      </c>
      <c r="AC225" s="168" t="str">
        <f>CONCATENATE(AA225,"_",AB225)</f>
        <v>002_Servicio de educación informal</v>
      </c>
      <c r="AD225" s="168" t="str">
        <f>CONCATENATE(Z225," ",AC225)</f>
        <v>07-Servicio de formación en gestión del riesgo de incendios para el personal UAECOB 002_Servicio de educación informal</v>
      </c>
      <c r="AE225" s="167" t="str">
        <f>CONCATENATE(U225,V225,W225,X225,AA225)</f>
        <v>O23011745032024025507002</v>
      </c>
      <c r="AF225" s="167" t="str">
        <f>IFERROR(VLOOKUP(AD225,TD!$J$70:$K$93,2,0)," ")</f>
        <v>PM/0131/0107/45030020255</v>
      </c>
      <c r="AG225" s="114" t="s">
        <v>385</v>
      </c>
      <c r="AH225" s="166" t="s">
        <v>193</v>
      </c>
      <c r="AI225" s="169" t="str">
        <f>CONCATENATE(PAA[[#This Row],[Id Interno]],"-",PAA[[#This Row],[tipo de Contrato (TH talento humano - B/S bienes y/o servicios)]],"-",S225,"-",T225,"-",PAA[[#This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226" spans="2:35" ht="84" x14ac:dyDescent="0.35">
      <c r="B226" s="23">
        <v>20260182</v>
      </c>
      <c r="C226" s="97" t="s">
        <v>612</v>
      </c>
      <c r="D226" s="23" t="s">
        <v>105</v>
      </c>
      <c r="E226" s="23" t="s">
        <v>363</v>
      </c>
      <c r="F226" s="163" t="s">
        <v>144</v>
      </c>
      <c r="G226" s="164" t="s">
        <v>373</v>
      </c>
      <c r="H226" s="165">
        <v>11</v>
      </c>
      <c r="I226" s="165">
        <v>0</v>
      </c>
      <c r="J226" s="122">
        <v>93500000</v>
      </c>
      <c r="K226" s="88" t="s">
        <v>398</v>
      </c>
      <c r="L226" s="163" t="s">
        <v>154</v>
      </c>
      <c r="M226" s="166" t="s">
        <v>438</v>
      </c>
      <c r="N226" s="23" t="s">
        <v>198</v>
      </c>
      <c r="O226" s="144" t="s">
        <v>887</v>
      </c>
      <c r="P226" s="163" t="s">
        <v>348</v>
      </c>
      <c r="Q226" s="53">
        <v>80111600</v>
      </c>
      <c r="R226" s="166" t="s">
        <v>218</v>
      </c>
      <c r="S226" s="166" t="str">
        <f>MID(PAA[[#This Row],[Meta Proyecto de Inversión]],1,4)</f>
        <v>8173</v>
      </c>
      <c r="T226" s="166" t="str">
        <f>MID(PAA[[#This Row],[Meta Proyecto de Inversión]],6,2)</f>
        <v>9-</v>
      </c>
      <c r="U226" s="167" t="str">
        <f>IFERROR(VLOOKUP(N226,TD!$B$54:$F$58,2,0)," ")</f>
        <v>O230117</v>
      </c>
      <c r="V226" s="167" t="str">
        <f>IFERROR(VLOOKUP(N226,TD!$B$54:$F$58,3,0)," ")</f>
        <v>4503</v>
      </c>
      <c r="W226" s="167">
        <f>IFERROR(VLOOKUP(N226,TD!$B$54:$F$58,4,0)," ")</f>
        <v>20240255</v>
      </c>
      <c r="X226" s="166" t="s">
        <v>172</v>
      </c>
      <c r="Y226" s="167" t="str">
        <f>IFERROR(VLOOKUP(X226,TD!$J$55:$K$68,2,0)," ")</f>
        <v>Servicio de formación en gestión del riesgo de incendios para el personal UAECOB</v>
      </c>
      <c r="Z226" s="168" t="str">
        <f>CONCATENATE(X226,"-",Y226)</f>
        <v>07-Servicio de formación en gestión del riesgo de incendios para el personal UAECOB</v>
      </c>
      <c r="AA226" s="171" t="s">
        <v>222</v>
      </c>
      <c r="AB226" s="167" t="str">
        <f>IFERROR(VLOOKUP(AA226,TD!$N$55:$O$70,2,0)," ")</f>
        <v>Servicio de educación informal</v>
      </c>
      <c r="AC226" s="168" t="str">
        <f>CONCATENATE(AA226,"_",AB226)</f>
        <v>002_Servicio de educación informal</v>
      </c>
      <c r="AD226" s="168" t="str">
        <f>CONCATENATE(Z226," ",AC226)</f>
        <v>07-Servicio de formación en gestión del riesgo de incendios para el personal UAECOB 002_Servicio de educación informal</v>
      </c>
      <c r="AE226" s="167" t="str">
        <f>CONCATENATE(U226,V226,W226,X226,AA226)</f>
        <v>O23011745032024025507002</v>
      </c>
      <c r="AF226" s="167" t="str">
        <f>IFERROR(VLOOKUP(AD226,TD!$J$70:$K$93,2,0)," ")</f>
        <v>PM/0131/0107/45030020255</v>
      </c>
      <c r="AG226" s="114" t="s">
        <v>385</v>
      </c>
      <c r="AH226" s="166" t="s">
        <v>193</v>
      </c>
      <c r="AI226" s="169" t="str">
        <f>CONCATENATE(PAA[[#This Row],[Id Interno]],"-",PAA[[#This Row],[tipo de Contrato (TH talento humano - B/S bienes y/o servicios)]],"-",S226,"-",T226,"-",PAA[[#This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227" spans="2:35" ht="126" x14ac:dyDescent="0.35">
      <c r="B227" s="23">
        <v>20260183</v>
      </c>
      <c r="C227" s="97" t="s">
        <v>462</v>
      </c>
      <c r="D227" s="23" t="s">
        <v>105</v>
      </c>
      <c r="E227" s="23" t="s">
        <v>363</v>
      </c>
      <c r="F227" s="163" t="s">
        <v>144</v>
      </c>
      <c r="G227" s="164" t="s">
        <v>373</v>
      </c>
      <c r="H227" s="165">
        <v>11</v>
      </c>
      <c r="I227" s="165">
        <v>0</v>
      </c>
      <c r="J227" s="122">
        <v>88000000</v>
      </c>
      <c r="K227" s="88" t="s">
        <v>398</v>
      </c>
      <c r="L227" s="163" t="s">
        <v>154</v>
      </c>
      <c r="M227" s="166" t="s">
        <v>438</v>
      </c>
      <c r="N227" s="23" t="s">
        <v>197</v>
      </c>
      <c r="O227" s="144" t="s">
        <v>886</v>
      </c>
      <c r="P227" s="163" t="s">
        <v>348</v>
      </c>
      <c r="Q227" s="53">
        <v>80111600</v>
      </c>
      <c r="R227" s="166" t="s">
        <v>208</v>
      </c>
      <c r="S227" s="166" t="str">
        <f>MID(PAA[[#This Row],[Meta Proyecto de Inversión]],1,4)</f>
        <v>8126</v>
      </c>
      <c r="T227" s="166" t="str">
        <f>MID(PAA[[#This Row],[Meta Proyecto de Inversión]],6,2)</f>
        <v>9-</v>
      </c>
      <c r="U227" s="167" t="str">
        <f>IFERROR(VLOOKUP(N227,TD!$B$54:$F$58,2,0)," ")</f>
        <v>O230117</v>
      </c>
      <c r="V227" s="167" t="str">
        <f>IFERROR(VLOOKUP(N227,TD!$B$54:$F$58,3,0)," ")</f>
        <v>4599</v>
      </c>
      <c r="W227" s="167">
        <f>IFERROR(VLOOKUP(N227,TD!$B$54:$F$58,4,0)," ")</f>
        <v>20240207</v>
      </c>
      <c r="X227" s="166" t="s">
        <v>174</v>
      </c>
      <c r="Y227" s="167" t="str">
        <f>IFERROR(VLOOKUP(X227,TD!$J$55:$K$68,2,0)," ")</f>
        <v>Infraestructura física, mantenimiento y dotación (Sedes construidas, mantenidas reforzadas)</v>
      </c>
      <c r="Z227" s="168" t="str">
        <f>CONCATENATE(X227,"-",Y227)</f>
        <v>08-Infraestructura física, mantenimiento y dotación (Sedes construidas, mantenidas reforzadas)</v>
      </c>
      <c r="AA227" s="171" t="s">
        <v>227</v>
      </c>
      <c r="AB227" s="167" t="str">
        <f>IFERROR(VLOOKUP(AA227,TD!$N$55:$O$70,2,0)," ")</f>
        <v>Sedes mantenidas</v>
      </c>
      <c r="AC227" s="168" t="str">
        <f>CONCATENATE(AA227,"_",AB227)</f>
        <v>016_Sedes mantenidas</v>
      </c>
      <c r="AD227" s="168" t="str">
        <f>CONCATENATE(Z227," ",AC227)</f>
        <v>08-Infraestructura física, mantenimiento y dotación (Sedes construidas, mantenidas reforzadas) 016_Sedes mantenidas</v>
      </c>
      <c r="AE227" s="167" t="str">
        <f>CONCATENATE(U227,V227,W227,X227,AA227)</f>
        <v>O23011745992024020708016</v>
      </c>
      <c r="AF227" s="167" t="str">
        <f>IFERROR(VLOOKUP(AD227,TD!$J$70:$K$93,2,0)," ")</f>
        <v>PM/0131/0108/45990160207</v>
      </c>
      <c r="AG227" s="114" t="s">
        <v>385</v>
      </c>
      <c r="AH227" s="166" t="s">
        <v>193</v>
      </c>
      <c r="AI227" s="169" t="str">
        <f>CONCATENATE(PAA[[#This Row],[Id Interno]],"-",PAA[[#This Row],[tipo de Contrato (TH talento humano - B/S bienes y/o servicios)]],"-",S227,"-",T227,"-",PAA[[#This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228" spans="2:35" ht="112" x14ac:dyDescent="0.35">
      <c r="B228" s="23">
        <v>20260184</v>
      </c>
      <c r="C228" s="97" t="s">
        <v>613</v>
      </c>
      <c r="D228" s="23" t="s">
        <v>105</v>
      </c>
      <c r="E228" s="23" t="s">
        <v>363</v>
      </c>
      <c r="F228" s="163" t="s">
        <v>144</v>
      </c>
      <c r="G228" s="164" t="s">
        <v>373</v>
      </c>
      <c r="H228" s="165">
        <v>11</v>
      </c>
      <c r="I228" s="165">
        <v>0</v>
      </c>
      <c r="J228" s="122">
        <v>114400000</v>
      </c>
      <c r="K228" s="88" t="s">
        <v>398</v>
      </c>
      <c r="L228" s="163" t="s">
        <v>154</v>
      </c>
      <c r="M228" s="166" t="s">
        <v>438</v>
      </c>
      <c r="N228" s="23" t="s">
        <v>198</v>
      </c>
      <c r="O228" s="144" t="s">
        <v>887</v>
      </c>
      <c r="P228" s="163" t="s">
        <v>348</v>
      </c>
      <c r="Q228" s="53">
        <v>80111600</v>
      </c>
      <c r="R228" s="166" t="s">
        <v>218</v>
      </c>
      <c r="S228" s="166" t="str">
        <f>MID(PAA[[#This Row],[Meta Proyecto de Inversión]],1,4)</f>
        <v>8173</v>
      </c>
      <c r="T228" s="166" t="str">
        <f>MID(PAA[[#This Row],[Meta Proyecto de Inversión]],6,2)</f>
        <v>9-</v>
      </c>
      <c r="U228" s="167" t="str">
        <f>IFERROR(VLOOKUP(N228,TD!$B$54:$F$58,2,0)," ")</f>
        <v>O230117</v>
      </c>
      <c r="V228" s="167" t="str">
        <f>IFERROR(VLOOKUP(N228,TD!$B$54:$F$58,3,0)," ")</f>
        <v>4503</v>
      </c>
      <c r="W228" s="167">
        <f>IFERROR(VLOOKUP(N228,TD!$B$54:$F$58,4,0)," ")</f>
        <v>20240255</v>
      </c>
      <c r="X228" s="166" t="s">
        <v>172</v>
      </c>
      <c r="Y228" s="167" t="str">
        <f>IFERROR(VLOOKUP(X228,TD!$J$55:$K$68,2,0)," ")</f>
        <v>Servicio de formación en gestión del riesgo de incendios para el personal UAECOB</v>
      </c>
      <c r="Z228" s="168" t="str">
        <f>CONCATENATE(X228,"-",Y228)</f>
        <v>07-Servicio de formación en gestión del riesgo de incendios para el personal UAECOB</v>
      </c>
      <c r="AA228" s="171" t="s">
        <v>222</v>
      </c>
      <c r="AB228" s="167" t="str">
        <f>IFERROR(VLOOKUP(AA228,TD!$N$55:$O$70,2,0)," ")</f>
        <v>Servicio de educación informal</v>
      </c>
      <c r="AC228" s="168" t="str">
        <f>CONCATENATE(AA228,"_",AB228)</f>
        <v>002_Servicio de educación informal</v>
      </c>
      <c r="AD228" s="168" t="str">
        <f>CONCATENATE(Z228," ",AC228)</f>
        <v>07-Servicio de formación en gestión del riesgo de incendios para el personal UAECOB 002_Servicio de educación informal</v>
      </c>
      <c r="AE228" s="167" t="str">
        <f>CONCATENATE(U228,V228,W228,X228,AA228)</f>
        <v>O23011745032024025507002</v>
      </c>
      <c r="AF228" s="167" t="str">
        <f>IFERROR(VLOOKUP(AD228,TD!$J$70:$K$93,2,0)," ")</f>
        <v>PM/0131/0107/45030020255</v>
      </c>
      <c r="AG228" s="114" t="s">
        <v>385</v>
      </c>
      <c r="AH228" s="166" t="s">
        <v>193</v>
      </c>
      <c r="AI228" s="169" t="str">
        <f>CONCATENATE(PAA[[#This Row],[Id Interno]],"-",PAA[[#This Row],[tipo de Contrato (TH talento humano - B/S bienes y/o servicios)]],"-",S228,"-",T228,"-",PAA[[#This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229" spans="2:35" ht="112" x14ac:dyDescent="0.35">
      <c r="B229" s="23">
        <v>20260186</v>
      </c>
      <c r="C229" s="97" t="s">
        <v>463</v>
      </c>
      <c r="D229" s="23" t="s">
        <v>119</v>
      </c>
      <c r="E229" s="23" t="s">
        <v>402</v>
      </c>
      <c r="F229" s="163" t="s">
        <v>89</v>
      </c>
      <c r="G229" s="164" t="s">
        <v>374</v>
      </c>
      <c r="H229" s="165">
        <v>11</v>
      </c>
      <c r="I229" s="165">
        <v>0</v>
      </c>
      <c r="J229" s="122">
        <f>500000000-30000000</f>
        <v>470000000</v>
      </c>
      <c r="K229" s="88" t="s">
        <v>398</v>
      </c>
      <c r="L229" s="163" t="s">
        <v>154</v>
      </c>
      <c r="M229" s="166" t="s">
        <v>438</v>
      </c>
      <c r="N229" s="23" t="s">
        <v>198</v>
      </c>
      <c r="O229" s="144" t="s">
        <v>887</v>
      </c>
      <c r="P229" s="163" t="s">
        <v>348</v>
      </c>
      <c r="Q229" s="53">
        <v>90121800</v>
      </c>
      <c r="R229" s="166" t="s">
        <v>218</v>
      </c>
      <c r="S229" s="166" t="str">
        <f>MID(PAA[[#This Row],[Meta Proyecto de Inversión]],1,4)</f>
        <v>8173</v>
      </c>
      <c r="T229" s="166" t="str">
        <f>MID(PAA[[#This Row],[Meta Proyecto de Inversión]],6,2)</f>
        <v>9-</v>
      </c>
      <c r="U229" s="167" t="str">
        <f>IFERROR(VLOOKUP(N229,TD!$B$54:$F$58,2,0)," ")</f>
        <v>O230117</v>
      </c>
      <c r="V229" s="167" t="str">
        <f>IFERROR(VLOOKUP(N229,TD!$B$54:$F$58,3,0)," ")</f>
        <v>4503</v>
      </c>
      <c r="W229" s="167">
        <f>IFERROR(VLOOKUP(N229,TD!$B$54:$F$58,4,0)," ")</f>
        <v>20240255</v>
      </c>
      <c r="X229" s="166" t="s">
        <v>172</v>
      </c>
      <c r="Y229" s="167" t="str">
        <f>IFERROR(VLOOKUP(X229,TD!$J$55:$K$68,2,0)," ")</f>
        <v>Servicio de formación en gestión del riesgo de incendios para el personal UAECOB</v>
      </c>
      <c r="Z229" s="168" t="str">
        <f>CONCATENATE(X229,"-",Y229)</f>
        <v>07-Servicio de formación en gestión del riesgo de incendios para el personal UAECOB</v>
      </c>
      <c r="AA229" s="171" t="s">
        <v>222</v>
      </c>
      <c r="AB229" s="167" t="str">
        <f>IFERROR(VLOOKUP(AA229,TD!$N$55:$O$70,2,0)," ")</f>
        <v>Servicio de educación informal</v>
      </c>
      <c r="AC229" s="168" t="str">
        <f>CONCATENATE(AA229,"_",AB229)</f>
        <v>002_Servicio de educación informal</v>
      </c>
      <c r="AD229" s="168" t="str">
        <f>CONCATENATE(Z229," ",AC229)</f>
        <v>07-Servicio de formación en gestión del riesgo de incendios para el personal UAECOB 002_Servicio de educación informal</v>
      </c>
      <c r="AE229" s="167" t="str">
        <f>CONCATENATE(U229,V229,W229,X229,AA229)</f>
        <v>O23011745032024025507002</v>
      </c>
      <c r="AF229" s="167" t="str">
        <f>IFERROR(VLOOKUP(AD229,TD!$J$70:$K$93,2,0)," ")</f>
        <v>PM/0131/0107/45030020255</v>
      </c>
      <c r="AG229" s="114" t="s">
        <v>545</v>
      </c>
      <c r="AH229" s="166" t="s">
        <v>193</v>
      </c>
      <c r="AI229" s="169" t="str">
        <f>CONCATENATE(PAA[[#This Row],[Id Interno]],"-",PAA[[#This Row],[tipo de Contrato (TH talento humano - B/S bienes y/o servicios)]],"-",S229,"-",T229,"-",PAA[[#This Row],[Objeto de la contratación]])</f>
        <v>20260186-BS-8173-9--SGH - Garantizar los recursos para movilización efectiva del personal operativo en la atención de emergencias</v>
      </c>
    </row>
    <row r="230" spans="2:35" ht="112" x14ac:dyDescent="0.35">
      <c r="B230" s="23">
        <v>20260187</v>
      </c>
      <c r="C230" s="97" t="s">
        <v>464</v>
      </c>
      <c r="D230" s="23" t="s">
        <v>119</v>
      </c>
      <c r="E230" s="23" t="s">
        <v>402</v>
      </c>
      <c r="F230" s="163" t="s">
        <v>89</v>
      </c>
      <c r="G230" s="164" t="s">
        <v>374</v>
      </c>
      <c r="H230" s="165">
        <v>11</v>
      </c>
      <c r="I230" s="165">
        <v>0</v>
      </c>
      <c r="J230" s="122">
        <f>260000000+30000000</f>
        <v>290000000</v>
      </c>
      <c r="K230" s="88" t="s">
        <v>398</v>
      </c>
      <c r="L230" s="163" t="s">
        <v>154</v>
      </c>
      <c r="M230" s="166" t="s">
        <v>438</v>
      </c>
      <c r="N230" s="23" t="s">
        <v>198</v>
      </c>
      <c r="O230" s="144" t="s">
        <v>887</v>
      </c>
      <c r="P230" s="163" t="s">
        <v>348</v>
      </c>
      <c r="Q230" s="53">
        <v>90121800</v>
      </c>
      <c r="R230" s="166" t="s">
        <v>218</v>
      </c>
      <c r="S230" s="166" t="str">
        <f>MID(PAA[[#This Row],[Meta Proyecto de Inversión]],1,4)</f>
        <v>8173</v>
      </c>
      <c r="T230" s="166" t="str">
        <f>MID(PAA[[#This Row],[Meta Proyecto de Inversión]],6,2)</f>
        <v>9-</v>
      </c>
      <c r="U230" s="167" t="str">
        <f>IFERROR(VLOOKUP(N230,TD!$B$54:$F$58,2,0)," ")</f>
        <v>O230117</v>
      </c>
      <c r="V230" s="167" t="str">
        <f>IFERROR(VLOOKUP(N230,TD!$B$54:$F$58,3,0)," ")</f>
        <v>4503</v>
      </c>
      <c r="W230" s="167">
        <f>IFERROR(VLOOKUP(N230,TD!$B$54:$F$58,4,0)," ")</f>
        <v>20240255</v>
      </c>
      <c r="X230" s="166" t="s">
        <v>172</v>
      </c>
      <c r="Y230" s="167" t="str">
        <f>IFERROR(VLOOKUP(X230,TD!$J$55:$K$68,2,0)," ")</f>
        <v>Servicio de formación en gestión del riesgo de incendios para el personal UAECOB</v>
      </c>
      <c r="Z230" s="168" t="str">
        <f>CONCATENATE(X230,"-",Y230)</f>
        <v>07-Servicio de formación en gestión del riesgo de incendios para el personal UAECOB</v>
      </c>
      <c r="AA230" s="171" t="s">
        <v>222</v>
      </c>
      <c r="AB230" s="167" t="str">
        <f>IFERROR(VLOOKUP(AA230,TD!$N$55:$O$70,2,0)," ")</f>
        <v>Servicio de educación informal</v>
      </c>
      <c r="AC230" s="168" t="str">
        <f>CONCATENATE(AA230,"_",AB230)</f>
        <v>002_Servicio de educación informal</v>
      </c>
      <c r="AD230" s="168" t="str">
        <f>CONCATENATE(Z230," ",AC230)</f>
        <v>07-Servicio de formación en gestión del riesgo de incendios para el personal UAECOB 002_Servicio de educación informal</v>
      </c>
      <c r="AE230" s="167" t="str">
        <f>CONCATENATE(U230,V230,W230,X230,AA230)</f>
        <v>O23011745032024025507002</v>
      </c>
      <c r="AF230" s="167" t="str">
        <f>IFERROR(VLOOKUP(AD230,TD!$J$70:$K$93,2,0)," ")</f>
        <v>PM/0131/0107/45030020255</v>
      </c>
      <c r="AG230" s="114" t="s">
        <v>545</v>
      </c>
      <c r="AH230" s="166" t="s">
        <v>193</v>
      </c>
      <c r="AI230" s="169" t="str">
        <f>CONCATENATE(PAA[[#This Row],[Id Interno]],"-",PAA[[#This Row],[tipo de Contrato (TH talento humano - B/S bienes y/o servicios)]],"-",S230,"-",T230,"-",PAA[[#This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231" spans="2:35" ht="70" x14ac:dyDescent="0.35">
      <c r="B231" s="97">
        <v>20260189</v>
      </c>
      <c r="C231" s="97" t="s">
        <v>614</v>
      </c>
      <c r="D231" s="97" t="s">
        <v>88</v>
      </c>
      <c r="E231" s="97" t="s">
        <v>402</v>
      </c>
      <c r="F231" s="164" t="s">
        <v>101</v>
      </c>
      <c r="G231" s="164" t="s">
        <v>381</v>
      </c>
      <c r="H231" s="170">
        <v>4</v>
      </c>
      <c r="I231" s="170">
        <v>0</v>
      </c>
      <c r="J231" s="114">
        <v>120413745</v>
      </c>
      <c r="K231" s="121" t="s">
        <v>398</v>
      </c>
      <c r="L231" s="164" t="s">
        <v>154</v>
      </c>
      <c r="M231" s="171" t="s">
        <v>438</v>
      </c>
      <c r="N231" s="97" t="s">
        <v>198</v>
      </c>
      <c r="O231" s="144" t="s">
        <v>887</v>
      </c>
      <c r="P231" s="164" t="s">
        <v>348</v>
      </c>
      <c r="Q231" s="123" t="s">
        <v>466</v>
      </c>
      <c r="R231" s="171" t="s">
        <v>218</v>
      </c>
      <c r="S231" s="166" t="str">
        <f>MID(PAA[[#This Row],[Meta Proyecto de Inversión]],1,4)</f>
        <v>8173</v>
      </c>
      <c r="T231" s="166" t="str">
        <f>MID(PAA[[#This Row],[Meta Proyecto de Inversión]],6,2)</f>
        <v>9-</v>
      </c>
      <c r="U231" s="172" t="str">
        <f>IFERROR(VLOOKUP(N231,TD!$B$54:$F$58,2,0)," ")</f>
        <v>O230117</v>
      </c>
      <c r="V231" s="172" t="str">
        <f>IFERROR(VLOOKUP(N231,TD!$B$54:$F$58,3,0)," ")</f>
        <v>4503</v>
      </c>
      <c r="W231" s="172">
        <f>IFERROR(VLOOKUP(N231,TD!$B$54:$F$58,4,0)," ")</f>
        <v>20240255</v>
      </c>
      <c r="X231" s="171" t="s">
        <v>172</v>
      </c>
      <c r="Y231" s="172" t="str">
        <f>IFERROR(VLOOKUP(X231,TD!$J$55:$K$68,2,0)," ")</f>
        <v>Servicio de formación en gestión del riesgo de incendios para el personal UAECOB</v>
      </c>
      <c r="Z231" s="168" t="str">
        <f>CONCATENATE(X231,"-",Y231)</f>
        <v>07-Servicio de formación en gestión del riesgo de incendios para el personal UAECOB</v>
      </c>
      <c r="AA231" s="171" t="s">
        <v>222</v>
      </c>
      <c r="AB231" s="172" t="str">
        <f>IFERROR(VLOOKUP(AA231,TD!$N$55:$O$70,2,0)," ")</f>
        <v>Servicio de educación informal</v>
      </c>
      <c r="AC231" s="168" t="str">
        <f>CONCATENATE(AA231,"_",AB231)</f>
        <v>002_Servicio de educación informal</v>
      </c>
      <c r="AD231" s="168" t="str">
        <f>CONCATENATE(Z231," ",AC231)</f>
        <v>07-Servicio de formación en gestión del riesgo de incendios para el personal UAECOB 002_Servicio de educación informal</v>
      </c>
      <c r="AE231" s="172" t="str">
        <f>CONCATENATE(U231,V231,W231,X231,AA231)</f>
        <v>O23011745032024025507002</v>
      </c>
      <c r="AF231" s="172" t="str">
        <f>IFERROR(VLOOKUP(AD231,TD!$J$70:$K$93,2,0)," ")</f>
        <v>PM/0131/0107/45030020255</v>
      </c>
      <c r="AG231" s="114" t="s">
        <v>866</v>
      </c>
      <c r="AH231" s="171" t="s">
        <v>193</v>
      </c>
      <c r="AI231" s="173" t="str">
        <f>CONCATENATE(PAA[[#This Row],[Id Interno]],"-",PAA[[#This Row],[tipo de Contrato (TH talento humano - B/S bienes y/o servicios)]],"-",S231,"-",T231,"-",PAA[[#This Row],[Objeto de la contratación]])</f>
        <v>20260189-BS-8173-9--SGH - Adquisición de Equipos y Herramientas para los procesos de Capacitación a cargo de la Academia de la UAE Cuerpo Oficial de Bomberos de Bogotá</v>
      </c>
    </row>
    <row r="232" spans="2:35" ht="84" customHeight="1" x14ac:dyDescent="0.35">
      <c r="B232" s="23">
        <v>20260191</v>
      </c>
      <c r="C232" s="97" t="s">
        <v>1221</v>
      </c>
      <c r="D232" s="23" t="s">
        <v>105</v>
      </c>
      <c r="E232" s="23" t="s">
        <v>402</v>
      </c>
      <c r="F232" s="163" t="s">
        <v>89</v>
      </c>
      <c r="G232" s="164" t="s">
        <v>380</v>
      </c>
      <c r="H232" s="165">
        <v>6</v>
      </c>
      <c r="I232" s="165">
        <v>0</v>
      </c>
      <c r="J232" s="122">
        <v>182514000</v>
      </c>
      <c r="K232" s="88" t="s">
        <v>398</v>
      </c>
      <c r="L232" s="163" t="s">
        <v>154</v>
      </c>
      <c r="M232" s="166" t="s">
        <v>438</v>
      </c>
      <c r="N232" s="23" t="s">
        <v>198</v>
      </c>
      <c r="O232" s="144" t="s">
        <v>887</v>
      </c>
      <c r="P232" s="163" t="s">
        <v>348</v>
      </c>
      <c r="Q232" s="53" t="s">
        <v>467</v>
      </c>
      <c r="R232" s="166" t="s">
        <v>218</v>
      </c>
      <c r="S232" s="166" t="str">
        <f>MID(PAA[[#This Row],[Meta Proyecto de Inversión]],1,4)</f>
        <v>8173</v>
      </c>
      <c r="T232" s="166" t="str">
        <f>MID(PAA[[#This Row],[Meta Proyecto de Inversión]],6,2)</f>
        <v>9-</v>
      </c>
      <c r="U232" s="167" t="str">
        <f>IFERROR(VLOOKUP(N232,TD!$B$54:$F$58,2,0)," ")</f>
        <v>O230117</v>
      </c>
      <c r="V232" s="167" t="str">
        <f>IFERROR(VLOOKUP(N232,TD!$B$54:$F$58,3,0)," ")</f>
        <v>4503</v>
      </c>
      <c r="W232" s="167">
        <f>IFERROR(VLOOKUP(N232,TD!$B$54:$F$58,4,0)," ")</f>
        <v>20240255</v>
      </c>
      <c r="X232" s="166" t="s">
        <v>172</v>
      </c>
      <c r="Y232" s="167" t="str">
        <f>IFERROR(VLOOKUP(X232,TD!$J$55:$K$68,2,0)," ")</f>
        <v>Servicio de formación en gestión del riesgo de incendios para el personal UAECOB</v>
      </c>
      <c r="Z232" s="168" t="str">
        <f>CONCATENATE(X232,"-",Y232)</f>
        <v>07-Servicio de formación en gestión del riesgo de incendios para el personal UAECOB</v>
      </c>
      <c r="AA232" s="171" t="s">
        <v>222</v>
      </c>
      <c r="AB232" s="167" t="str">
        <f>IFERROR(VLOOKUP(AA232,TD!$N$55:$O$70,2,0)," ")</f>
        <v>Servicio de educación informal</v>
      </c>
      <c r="AC232" s="168" t="str">
        <f>CONCATENATE(AA232,"_",AB232)</f>
        <v>002_Servicio de educación informal</v>
      </c>
      <c r="AD232" s="168" t="str">
        <f>CONCATENATE(Z232," ",AC232)</f>
        <v>07-Servicio de formación en gestión del riesgo de incendios para el personal UAECOB 002_Servicio de educación informal</v>
      </c>
      <c r="AE232" s="167" t="str">
        <f>CONCATENATE(U232,V232,W232,X232,AA232)</f>
        <v>O23011745032024025507002</v>
      </c>
      <c r="AF232" s="167" t="str">
        <f>IFERROR(VLOOKUP(AD232,TD!$J$70:$K$93,2,0)," ")</f>
        <v>PM/0131/0107/45030020255</v>
      </c>
      <c r="AG232" s="114" t="s">
        <v>865</v>
      </c>
      <c r="AH232" s="166" t="s">
        <v>193</v>
      </c>
      <c r="AI232" s="169" t="str">
        <f>CONCATENATE(PAA[[#This Row],[Id Interno]],"-",PAA[[#This Row],[tipo de Contrato (TH talento humano - B/S bienes y/o servicios)]],"-",S232,"-",T232,"-",PAA[[#This Row],[Objeto de la contratación]])</f>
        <v>20260191-BS-8173-9--SGH - Prestar los servicios de capacitación y formación  para el curso instructor Proboard para el personal operativo de la Unidad Administrativa Especial Cuerpo Oficial de Bomberos Bogotá.</v>
      </c>
    </row>
    <row r="233" spans="2:35" ht="168" x14ac:dyDescent="0.35">
      <c r="B233" s="23">
        <v>20260192</v>
      </c>
      <c r="C233" s="97" t="s">
        <v>465</v>
      </c>
      <c r="D233" s="23" t="s">
        <v>92</v>
      </c>
      <c r="E233" s="23" t="s">
        <v>402</v>
      </c>
      <c r="F233" s="163" t="s">
        <v>101</v>
      </c>
      <c r="G233" s="164" t="s">
        <v>375</v>
      </c>
      <c r="H233" s="165">
        <v>4</v>
      </c>
      <c r="I233" s="165">
        <v>0</v>
      </c>
      <c r="J233" s="122">
        <v>32126000</v>
      </c>
      <c r="K233" s="88" t="s">
        <v>398</v>
      </c>
      <c r="L233" s="163" t="s">
        <v>154</v>
      </c>
      <c r="M233" s="166" t="s">
        <v>438</v>
      </c>
      <c r="N233" s="23" t="s">
        <v>198</v>
      </c>
      <c r="O233" s="144" t="s">
        <v>887</v>
      </c>
      <c r="P233" s="163" t="s">
        <v>348</v>
      </c>
      <c r="Q233" s="53">
        <v>55101510</v>
      </c>
      <c r="R233" s="166" t="s">
        <v>218</v>
      </c>
      <c r="S233" s="166" t="str">
        <f>MID(PAA[[#This Row],[Meta Proyecto de Inversión]],1,4)</f>
        <v>8173</v>
      </c>
      <c r="T233" s="166" t="str">
        <f>MID(PAA[[#This Row],[Meta Proyecto de Inversión]],6,2)</f>
        <v>9-</v>
      </c>
      <c r="U233" s="167" t="str">
        <f>IFERROR(VLOOKUP(N233,TD!$B$54:$F$58,2,0)," ")</f>
        <v>O230117</v>
      </c>
      <c r="V233" s="167" t="str">
        <f>IFERROR(VLOOKUP(N233,TD!$B$54:$F$58,3,0)," ")</f>
        <v>4503</v>
      </c>
      <c r="W233" s="167">
        <f>IFERROR(VLOOKUP(N233,TD!$B$54:$F$58,4,0)," ")</f>
        <v>20240255</v>
      </c>
      <c r="X233" s="166" t="s">
        <v>172</v>
      </c>
      <c r="Y233" s="167" t="str">
        <f>IFERROR(VLOOKUP(X233,TD!$J$55:$K$68,2,0)," ")</f>
        <v>Servicio de formación en gestión del riesgo de incendios para el personal UAECOB</v>
      </c>
      <c r="Z233" s="168" t="str">
        <f>CONCATENATE(X233,"-",Y233)</f>
        <v>07-Servicio de formación en gestión del riesgo de incendios para el personal UAECOB</v>
      </c>
      <c r="AA233" s="171" t="s">
        <v>222</v>
      </c>
      <c r="AB233" s="167" t="str">
        <f>IFERROR(VLOOKUP(AA233,TD!$N$55:$O$70,2,0)," ")</f>
        <v>Servicio de educación informal</v>
      </c>
      <c r="AC233" s="168" t="str">
        <f>CONCATENATE(AA233,"_",AB233)</f>
        <v>002_Servicio de educación informal</v>
      </c>
      <c r="AD233" s="168" t="str">
        <f>CONCATENATE(Z233," ",AC233)</f>
        <v>07-Servicio de formación en gestión del riesgo de incendios para el personal UAECOB 002_Servicio de educación informal</v>
      </c>
      <c r="AE233" s="167" t="str">
        <f>CONCATENATE(U233,V233,W233,X233,AA233)</f>
        <v>O23011745032024025507002</v>
      </c>
      <c r="AF233" s="167" t="str">
        <f>IFERROR(VLOOKUP(AD233,TD!$J$70:$K$93,2,0)," ")</f>
        <v>PM/0131/0107/45030020255</v>
      </c>
      <c r="AG233" s="114" t="s">
        <v>867</v>
      </c>
      <c r="AH233" s="166" t="s">
        <v>193</v>
      </c>
      <c r="AI233" s="169" t="str">
        <f>CONCATENATE(PAA[[#This Row],[Id Interno]],"-",PAA[[#This Row],[tipo de Contrato (TH talento humano - B/S bienes y/o servicios)]],"-",S233,"-",T233,"-",PAA[[#This Row],[Objeto de la contratación]])</f>
        <v>20260192-BS-8173-9--SGH- Adquisición de material bibliográfico de consulta para estudio y capacitación, que servirá como base de la biblioteca para la academia de la UAE Cuerpo Oficial de Bomberos de Bogotá</v>
      </c>
    </row>
    <row r="234" spans="2:35" ht="112" customHeight="1" x14ac:dyDescent="0.35">
      <c r="B234" s="23">
        <v>20260193</v>
      </c>
      <c r="C234" s="97" t="s">
        <v>615</v>
      </c>
      <c r="D234" s="23" t="s">
        <v>83</v>
      </c>
      <c r="E234" s="23" t="s">
        <v>402</v>
      </c>
      <c r="F234" s="163" t="s">
        <v>89</v>
      </c>
      <c r="G234" s="164" t="s">
        <v>380</v>
      </c>
      <c r="H234" s="165">
        <v>6</v>
      </c>
      <c r="I234" s="165">
        <v>0</v>
      </c>
      <c r="J234" s="122">
        <v>509200000</v>
      </c>
      <c r="K234" s="88" t="s">
        <v>398</v>
      </c>
      <c r="L234" s="163" t="s">
        <v>154</v>
      </c>
      <c r="M234" s="166" t="s">
        <v>438</v>
      </c>
      <c r="N234" s="23" t="s">
        <v>330</v>
      </c>
      <c r="O234" s="144" t="s">
        <v>886</v>
      </c>
      <c r="P234" s="163" t="s">
        <v>161</v>
      </c>
      <c r="Q234" s="53" t="s">
        <v>616</v>
      </c>
      <c r="R234" s="166" t="s">
        <v>331</v>
      </c>
      <c r="S234" s="166" t="str">
        <f>MID(PAA[[#This Row],[Meta Proyecto de Inversión]],1,4)</f>
        <v>No a</v>
      </c>
      <c r="T234" s="166" t="str">
        <f>MID(PAA[[#This Row],[Meta Proyecto de Inversión]],6,2)</f>
        <v>li</v>
      </c>
      <c r="U234" s="167" t="str">
        <f>IFERROR(VLOOKUP(N234,TD!$B$54:$F$58,2,0)," ")</f>
        <v>NA</v>
      </c>
      <c r="V234" s="167" t="str">
        <f>IFERROR(VLOOKUP(N234,TD!$B$54:$F$58,3,0)," ")</f>
        <v>NA</v>
      </c>
      <c r="W234" s="167" t="str">
        <f>IFERROR(VLOOKUP(N234,TD!$B$54:$F$58,4,0)," ")</f>
        <v>NA</v>
      </c>
      <c r="X234" s="166" t="s">
        <v>335</v>
      </c>
      <c r="Y234" s="167" t="str">
        <f>IFERROR(VLOOKUP(X234,TD!$J$55:$K$68,2,0)," ")</f>
        <v>N/A</v>
      </c>
      <c r="Z234" s="168" t="str">
        <f>CONCATENATE(X234,"-",Y234)</f>
        <v>N/A-N/A</v>
      </c>
      <c r="AA234" s="171" t="s">
        <v>335</v>
      </c>
      <c r="AB234" s="167" t="str">
        <f>IFERROR(VLOOKUP(AA234,TD!$N$55:$O$70,2,0)," ")</f>
        <v>N/A</v>
      </c>
      <c r="AC234" s="168" t="str">
        <f>CONCATENATE(AA234,"_",AB234)</f>
        <v>N/A_N/A</v>
      </c>
      <c r="AD234" s="168" t="str">
        <f>CONCATENATE(Z234," ",AC234)</f>
        <v>N/A-N/A N/A_N/A</v>
      </c>
      <c r="AE234" s="167" t="str">
        <f>CONCATENATE(U234,V234,W234,X234,AA234)</f>
        <v>NANANAN/AN/A</v>
      </c>
      <c r="AF234" s="167" t="str">
        <f>IFERROR(VLOOKUP(AD234,TD!$J$70:$K$93,2,0)," ")</f>
        <v>N/A</v>
      </c>
      <c r="AG234" s="114" t="s">
        <v>332</v>
      </c>
      <c r="AH234" s="166" t="s">
        <v>193</v>
      </c>
      <c r="AI234" s="169" t="str">
        <f>CONCATENATE(PAA[[#This Row],[Id Interno]],"-",PAA[[#This Row],[tipo de Contrato (TH talento humano - B/S bienes y/o servicios)]],"-",S234,"-",T234,"-",PAA[[#This Row],[Objeto de la contratación]])</f>
        <v>20260193-BS-No a-li-SGH -Contratar la realización de los exámenes Médicos Ocupacionales para el personal de la UAE Cuerpo Oficial de Bomberos de Bogotá</v>
      </c>
    </row>
    <row r="235" spans="2:35" ht="56" customHeight="1" x14ac:dyDescent="0.35">
      <c r="B235" s="23">
        <v>20260194</v>
      </c>
      <c r="C235" s="97" t="s">
        <v>617</v>
      </c>
      <c r="D235" s="23" t="s">
        <v>105</v>
      </c>
      <c r="E235" s="23" t="s">
        <v>402</v>
      </c>
      <c r="F235" s="163" t="s">
        <v>89</v>
      </c>
      <c r="G235" s="164" t="s">
        <v>373</v>
      </c>
      <c r="H235" s="165">
        <v>10</v>
      </c>
      <c r="I235" s="165">
        <v>0</v>
      </c>
      <c r="J235" s="122">
        <v>1620000000</v>
      </c>
      <c r="K235" s="88" t="s">
        <v>398</v>
      </c>
      <c r="L235" s="163" t="s">
        <v>154</v>
      </c>
      <c r="M235" s="166" t="s">
        <v>438</v>
      </c>
      <c r="N235" s="23" t="s">
        <v>330</v>
      </c>
      <c r="O235" s="144" t="s">
        <v>886</v>
      </c>
      <c r="P235" s="163" t="s">
        <v>161</v>
      </c>
      <c r="Q235" s="53" t="s">
        <v>618</v>
      </c>
      <c r="R235" s="166" t="s">
        <v>331</v>
      </c>
      <c r="S235" s="166" t="str">
        <f>MID(PAA[[#This Row],[Meta Proyecto de Inversión]],1,4)</f>
        <v>No a</v>
      </c>
      <c r="T235" s="166" t="str">
        <f>MID(PAA[[#This Row],[Meta Proyecto de Inversión]],6,2)</f>
        <v>li</v>
      </c>
      <c r="U235" s="167" t="str">
        <f>IFERROR(VLOOKUP(N235,TD!$B$54:$F$58,2,0)," ")</f>
        <v>NA</v>
      </c>
      <c r="V235" s="167" t="str">
        <f>IFERROR(VLOOKUP(N235,TD!$B$54:$F$58,3,0)," ")</f>
        <v>NA</v>
      </c>
      <c r="W235" s="167" t="str">
        <f>IFERROR(VLOOKUP(N235,TD!$B$54:$F$58,4,0)," ")</f>
        <v>NA</v>
      </c>
      <c r="X235" s="166" t="s">
        <v>335</v>
      </c>
      <c r="Y235" s="167" t="str">
        <f>IFERROR(VLOOKUP(X235,TD!$J$55:$K$68,2,0)," ")</f>
        <v>N/A</v>
      </c>
      <c r="Z235" s="168" t="str">
        <f>CONCATENATE(X235,"-",Y235)</f>
        <v>N/A-N/A</v>
      </c>
      <c r="AA235" s="171" t="s">
        <v>335</v>
      </c>
      <c r="AB235" s="167" t="str">
        <f>IFERROR(VLOOKUP(AA235,TD!$N$55:$O$70,2,0)," ")</f>
        <v>N/A</v>
      </c>
      <c r="AC235" s="168" t="str">
        <f>CONCATENATE(AA235,"_",AB235)</f>
        <v>N/A_N/A</v>
      </c>
      <c r="AD235" s="168" t="str">
        <f>CONCATENATE(Z235," ",AC235)</f>
        <v>N/A-N/A N/A_N/A</v>
      </c>
      <c r="AE235" s="167" t="str">
        <f>CONCATENATE(U235,V235,W235,X235,AA235)</f>
        <v>NANANAN/AN/A</v>
      </c>
      <c r="AF235" s="167" t="str">
        <f>IFERROR(VLOOKUP(AD235,TD!$J$70:$K$93,2,0)," ")</f>
        <v>N/A</v>
      </c>
      <c r="AG235" s="114" t="s">
        <v>332</v>
      </c>
      <c r="AH235" s="166" t="s">
        <v>193</v>
      </c>
      <c r="AI235" s="169" t="str">
        <f>CONCATENATE(PAA[[#This Row],[Id Interno]],"-",PAA[[#This Row],[tipo de Contrato (TH talento humano - B/S bienes y/o servicios)]],"-",S235,"-",T235,"-",PAA[[#This Row],[Objeto de la contratación]])</f>
        <v>20260194-BS-No a-li-SGH - Contratar la Prestación de Servicios para desarrollar el Plan de Bienestar de la UAE Cuerpo Oficial de Bomberos para la Vigencia 2026</v>
      </c>
    </row>
    <row r="236" spans="2:35" ht="56" x14ac:dyDescent="0.35">
      <c r="B236" s="23">
        <v>20260196</v>
      </c>
      <c r="C236" s="97" t="s">
        <v>482</v>
      </c>
      <c r="D236" s="23" t="s">
        <v>78</v>
      </c>
      <c r="E236" s="23" t="s">
        <v>402</v>
      </c>
      <c r="F236" s="163" t="s">
        <v>136</v>
      </c>
      <c r="G236" s="164" t="s">
        <v>373</v>
      </c>
      <c r="H236" s="165">
        <v>12</v>
      </c>
      <c r="I236" s="165">
        <v>0</v>
      </c>
      <c r="J236" s="122">
        <v>6689476699</v>
      </c>
      <c r="K236" s="88" t="s">
        <v>397</v>
      </c>
      <c r="L236" s="163" t="s">
        <v>157</v>
      </c>
      <c r="M236" s="166" t="s">
        <v>483</v>
      </c>
      <c r="N236" s="23" t="s">
        <v>198</v>
      </c>
      <c r="O236" s="144" t="s">
        <v>887</v>
      </c>
      <c r="P236" s="163" t="s">
        <v>348</v>
      </c>
      <c r="Q236" s="53">
        <v>78181500</v>
      </c>
      <c r="R236" s="166" t="s">
        <v>213</v>
      </c>
      <c r="S236" s="166" t="str">
        <f>MID(PAA[[#This Row],[Meta Proyecto de Inversión]],1,4)</f>
        <v>8173</v>
      </c>
      <c r="T236" s="166" t="str">
        <f>MID(PAA[[#This Row],[Meta Proyecto de Inversión]],6,2)</f>
        <v>4-</v>
      </c>
      <c r="U236" s="167" t="str">
        <f>IFERROR(VLOOKUP(N236,TD!$B$54:$F$58,2,0)," ")</f>
        <v>O230117</v>
      </c>
      <c r="V236" s="167" t="str">
        <f>IFERROR(VLOOKUP(N236,TD!$B$54:$F$58,3,0)," ")</f>
        <v>4503</v>
      </c>
      <c r="W236" s="167">
        <f>IFERROR(VLOOKUP(N236,TD!$B$54:$F$58,4,0)," ")</f>
        <v>20240255</v>
      </c>
      <c r="X236" s="166" t="s">
        <v>176</v>
      </c>
      <c r="Y236" s="167" t="str">
        <f>IFERROR(VLOOKUP(X236,TD!$J$55:$K$68,2,0)," ")</f>
        <v>Servicio de mantenimiento, dotación (HEA´s y equipo menor) y adquisición de vehiculos   especializados para la atención de emergencias.</v>
      </c>
      <c r="Z236" s="168" t="str">
        <f>CONCATENATE(X236,"-",Y236)</f>
        <v>09-Servicio de mantenimiento, dotación (HEA´s y equipo menor) y adquisición de vehiculos   especializados para la atención de emergencias.</v>
      </c>
      <c r="AA236" s="171" t="s">
        <v>221</v>
      </c>
      <c r="AB236" s="167" t="str">
        <f>IFERROR(VLOOKUP(AA236,TD!$N$55:$O$70,2,0)," ")</f>
        <v>Servicio de atención a emergencias y desastres</v>
      </c>
      <c r="AC236" s="168" t="str">
        <f>CONCATENATE(AA236,"_",AB236)</f>
        <v>004_Servicio de atención a emergencias y desastres</v>
      </c>
      <c r="AD236" s="168" t="str">
        <f>CONCATENATE(Z236," ",AC236)</f>
        <v>09-Servicio de mantenimiento, dotación (HEA´s y equipo menor) y adquisición de vehiculos   especializados para la atención de emergencias. 004_Servicio de atención a emergencias y desastres</v>
      </c>
      <c r="AE236" s="167" t="str">
        <f>CONCATENATE(U236,V236,W236,X236,AA236)</f>
        <v>O23011745032024025509004</v>
      </c>
      <c r="AF236" s="167" t="str">
        <f>IFERROR(VLOOKUP(AD236,TD!$J$70:$K$93,2,0)," ")</f>
        <v>PM/0131/0109/45030040255</v>
      </c>
      <c r="AG236" s="114" t="s">
        <v>387</v>
      </c>
      <c r="AH236" s="166" t="s">
        <v>193</v>
      </c>
      <c r="AI236" s="169" t="str">
        <f>CONCATENATE(PAA[[#This Row],[Id Interno]],"-",PAA[[#This Row],[tipo de Contrato (TH talento humano - B/S bienes y/o servicios)]],"-",S236,"-",T236,"-",PAA[[#This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237" spans="2:35" ht="42" x14ac:dyDescent="0.35">
      <c r="B237" s="23">
        <v>20260198</v>
      </c>
      <c r="C237" s="97" t="s">
        <v>771</v>
      </c>
      <c r="D237" s="23" t="s">
        <v>105</v>
      </c>
      <c r="E237" s="23" t="s">
        <v>363</v>
      </c>
      <c r="F237" s="163" t="s">
        <v>144</v>
      </c>
      <c r="G237" s="164" t="s">
        <v>373</v>
      </c>
      <c r="H237" s="165">
        <v>10</v>
      </c>
      <c r="I237" s="165">
        <v>0</v>
      </c>
      <c r="J237" s="122">
        <v>90000000</v>
      </c>
      <c r="K237" s="88" t="s">
        <v>398</v>
      </c>
      <c r="L237" s="163" t="s">
        <v>157</v>
      </c>
      <c r="M237" s="166" t="s">
        <v>483</v>
      </c>
      <c r="N237" s="23" t="s">
        <v>198</v>
      </c>
      <c r="O237" s="144" t="s">
        <v>887</v>
      </c>
      <c r="P237" s="163" t="s">
        <v>348</v>
      </c>
      <c r="Q237" s="53">
        <v>80111600</v>
      </c>
      <c r="R237" s="166" t="s">
        <v>213</v>
      </c>
      <c r="S237" s="166" t="str">
        <f>MID(PAA[[#This Row],[Meta Proyecto de Inversión]],1,4)</f>
        <v>8173</v>
      </c>
      <c r="T237" s="166" t="str">
        <f>MID(PAA[[#This Row],[Meta Proyecto de Inversión]],6,2)</f>
        <v>4-</v>
      </c>
      <c r="U237" s="167" t="str">
        <f>IFERROR(VLOOKUP(N237,TD!$B$54:$F$58,2,0)," ")</f>
        <v>O230117</v>
      </c>
      <c r="V237" s="167" t="str">
        <f>IFERROR(VLOOKUP(N237,TD!$B$54:$F$58,3,0)," ")</f>
        <v>4503</v>
      </c>
      <c r="W237" s="167">
        <f>IFERROR(VLOOKUP(N237,TD!$B$54:$F$58,4,0)," ")</f>
        <v>20240255</v>
      </c>
      <c r="X237" s="166" t="s">
        <v>180</v>
      </c>
      <c r="Y237" s="167" t="str">
        <f>IFERROR(VLOOKUP(X237,TD!$J$55:$K$68,2,0)," ")</f>
        <v>Servicio de apoyo   logístico  en eventos operativos y/o emergencias.</v>
      </c>
      <c r="Z237" s="168" t="str">
        <f>CONCATENATE(X237,"-",Y237)</f>
        <v>12-Servicio de apoyo   logístico  en eventos operativos y/o emergencias.</v>
      </c>
      <c r="AA237" s="166" t="s">
        <v>221</v>
      </c>
      <c r="AB237" s="167" t="str">
        <f>IFERROR(VLOOKUP(AA237,TD!$N$55:$O$70,2,0)," ")</f>
        <v>Servicio de atención a emergencias y desastres</v>
      </c>
      <c r="AC237" s="168" t="str">
        <f>CONCATENATE(AA237,"_",AB237)</f>
        <v>004_Servicio de atención a emergencias y desastres</v>
      </c>
      <c r="AD237" s="168" t="str">
        <f>CONCATENATE(Z237," ",AC237)</f>
        <v>12-Servicio de apoyo   logístico  en eventos operativos y/o emergencias. 004_Servicio de atención a emergencias y desastres</v>
      </c>
      <c r="AE237" s="167" t="str">
        <f>CONCATENATE(U237,V237,W237,X237,AA237)</f>
        <v>O23011745032024025512004</v>
      </c>
      <c r="AF237" s="167" t="str">
        <f>IFERROR(VLOOKUP(AD237,TD!$J$70:$K$93,2,0)," ")</f>
        <v>PM/0131/0112/45030040255</v>
      </c>
      <c r="AG237" s="114" t="s">
        <v>385</v>
      </c>
      <c r="AH237" s="166" t="s">
        <v>193</v>
      </c>
      <c r="AI237" s="169" t="str">
        <f>CONCATENATE(PAA[[#This Row],[Id Interno]],"-",PAA[[#This Row],[tipo de Contrato (TH talento humano - B/S bienes y/o servicios)]],"-",S237,"-",T237,"-",PAA[[#This Row],[Objeto de la contratación]])</f>
        <v>20260198-TH-8173-4--Prestación de servicios profesionales apoyando el control legal de los procesos y acciones, especialmente la gestión contractual para el desarrollo de las estrategías de la Subdirección Logística - SBLG</v>
      </c>
    </row>
    <row r="238" spans="2:35" ht="70" x14ac:dyDescent="0.35">
      <c r="B238" s="23">
        <v>20260199</v>
      </c>
      <c r="C238" s="97" t="s">
        <v>772</v>
      </c>
      <c r="D238" s="23" t="s">
        <v>105</v>
      </c>
      <c r="E238" s="23" t="s">
        <v>363</v>
      </c>
      <c r="F238" s="163" t="s">
        <v>144</v>
      </c>
      <c r="G238" s="164" t="s">
        <v>373</v>
      </c>
      <c r="H238" s="165">
        <v>5</v>
      </c>
      <c r="I238" s="165">
        <v>0</v>
      </c>
      <c r="J238" s="122">
        <v>32500000</v>
      </c>
      <c r="K238" s="88" t="s">
        <v>398</v>
      </c>
      <c r="L238" s="163" t="s">
        <v>157</v>
      </c>
      <c r="M238" s="166" t="s">
        <v>483</v>
      </c>
      <c r="N238" s="23" t="s">
        <v>198</v>
      </c>
      <c r="O238" s="144" t="s">
        <v>887</v>
      </c>
      <c r="P238" s="163" t="s">
        <v>348</v>
      </c>
      <c r="Q238" s="53">
        <v>80111600</v>
      </c>
      <c r="R238" s="166" t="s">
        <v>213</v>
      </c>
      <c r="S238" s="166" t="str">
        <f>MID(PAA[[#This Row],[Meta Proyecto de Inversión]],1,4)</f>
        <v>8173</v>
      </c>
      <c r="T238" s="166" t="str">
        <f>MID(PAA[[#This Row],[Meta Proyecto de Inversión]],6,2)</f>
        <v>4-</v>
      </c>
      <c r="U238" s="167" t="str">
        <f>IFERROR(VLOOKUP(N238,TD!$B$54:$F$58,2,0)," ")</f>
        <v>O230117</v>
      </c>
      <c r="V238" s="167" t="str">
        <f>IFERROR(VLOOKUP(N238,TD!$B$54:$F$58,3,0)," ")</f>
        <v>4503</v>
      </c>
      <c r="W238" s="167">
        <f>IFERROR(VLOOKUP(N238,TD!$B$54:$F$58,4,0)," ")</f>
        <v>20240255</v>
      </c>
      <c r="X238" s="166" t="s">
        <v>180</v>
      </c>
      <c r="Y238" s="167" t="str">
        <f>IFERROR(VLOOKUP(X238,TD!$J$55:$K$68,2,0)," ")</f>
        <v>Servicio de apoyo   logístico  en eventos operativos y/o emergencias.</v>
      </c>
      <c r="Z238" s="168" t="str">
        <f>CONCATENATE(X238,"-",Y238)</f>
        <v>12-Servicio de apoyo   logístico  en eventos operativos y/o emergencias.</v>
      </c>
      <c r="AA238" s="166" t="s">
        <v>221</v>
      </c>
      <c r="AB238" s="167" t="str">
        <f>IFERROR(VLOOKUP(AA238,TD!$N$55:$O$70,2,0)," ")</f>
        <v>Servicio de atención a emergencias y desastres</v>
      </c>
      <c r="AC238" s="168" t="str">
        <f>CONCATENATE(AA238,"_",AB238)</f>
        <v>004_Servicio de atención a emergencias y desastres</v>
      </c>
      <c r="AD238" s="168" t="str">
        <f>CONCATENATE(Z238," ",AC238)</f>
        <v>12-Servicio de apoyo   logístico  en eventos operativos y/o emergencias. 004_Servicio de atención a emergencias y desastres</v>
      </c>
      <c r="AE238" s="167" t="str">
        <f>CONCATENATE(U238,V238,W238,X238,AA238)</f>
        <v>O23011745032024025512004</v>
      </c>
      <c r="AF238" s="167" t="str">
        <f>IFERROR(VLOOKUP(AD238,TD!$J$70:$K$93,2,0)," ")</f>
        <v>PM/0131/0112/45030040255</v>
      </c>
      <c r="AG238" s="114" t="s">
        <v>385</v>
      </c>
      <c r="AH238" s="166" t="s">
        <v>193</v>
      </c>
      <c r="AI238" s="169" t="str">
        <f>CONCATENATE(PAA[[#This Row],[Id Interno]],"-",PAA[[#This Row],[tipo de Contrato (TH talento humano - B/S bienes y/o servicios)]],"-",S238,"-",T238,"-",PAA[[#This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239" spans="2:35" ht="56" x14ac:dyDescent="0.35">
      <c r="B239" s="23">
        <v>20260200</v>
      </c>
      <c r="C239" s="97" t="s">
        <v>858</v>
      </c>
      <c r="D239" s="23" t="s">
        <v>105</v>
      </c>
      <c r="E239" s="23" t="s">
        <v>363</v>
      </c>
      <c r="F239" s="163" t="s">
        <v>144</v>
      </c>
      <c r="G239" s="164" t="s">
        <v>373</v>
      </c>
      <c r="H239" s="165">
        <v>8</v>
      </c>
      <c r="I239" s="165">
        <v>0</v>
      </c>
      <c r="J239" s="122">
        <v>64000000</v>
      </c>
      <c r="K239" s="88" t="s">
        <v>398</v>
      </c>
      <c r="L239" s="163" t="s">
        <v>157</v>
      </c>
      <c r="M239" s="166" t="s">
        <v>483</v>
      </c>
      <c r="N239" s="23" t="s">
        <v>198</v>
      </c>
      <c r="O239" s="144" t="s">
        <v>887</v>
      </c>
      <c r="P239" s="163" t="s">
        <v>348</v>
      </c>
      <c r="Q239" s="53">
        <v>80111600</v>
      </c>
      <c r="R239" s="166" t="s">
        <v>213</v>
      </c>
      <c r="S239" s="166" t="str">
        <f>MID(PAA[[#This Row],[Meta Proyecto de Inversión]],1,4)</f>
        <v>8173</v>
      </c>
      <c r="T239" s="166" t="str">
        <f>MID(PAA[[#This Row],[Meta Proyecto de Inversión]],6,2)</f>
        <v>4-</v>
      </c>
      <c r="U239" s="167" t="str">
        <f>IFERROR(VLOOKUP(N239,TD!$B$54:$F$58,2,0)," ")</f>
        <v>O230117</v>
      </c>
      <c r="V239" s="167" t="str">
        <f>IFERROR(VLOOKUP(N239,TD!$B$54:$F$58,3,0)," ")</f>
        <v>4503</v>
      </c>
      <c r="W239" s="167">
        <f>IFERROR(VLOOKUP(N239,TD!$B$54:$F$58,4,0)," ")</f>
        <v>20240255</v>
      </c>
      <c r="X239" s="166" t="s">
        <v>180</v>
      </c>
      <c r="Y239" s="167" t="str">
        <f>IFERROR(VLOOKUP(X239,TD!$J$55:$K$68,2,0)," ")</f>
        <v>Servicio de apoyo   logístico  en eventos operativos y/o emergencias.</v>
      </c>
      <c r="Z239" s="168" t="str">
        <f>CONCATENATE(X239,"-",Y239)</f>
        <v>12-Servicio de apoyo   logístico  en eventos operativos y/o emergencias.</v>
      </c>
      <c r="AA239" s="166" t="s">
        <v>221</v>
      </c>
      <c r="AB239" s="167" t="str">
        <f>IFERROR(VLOOKUP(AA239,TD!$N$55:$O$70,2,0)," ")</f>
        <v>Servicio de atención a emergencias y desastres</v>
      </c>
      <c r="AC239" s="168" t="str">
        <f>CONCATENATE(AA239,"_",AB239)</f>
        <v>004_Servicio de atención a emergencias y desastres</v>
      </c>
      <c r="AD239" s="168" t="str">
        <f>CONCATENATE(Z239," ",AC239)</f>
        <v>12-Servicio de apoyo   logístico  en eventos operativos y/o emergencias. 004_Servicio de atención a emergencias y desastres</v>
      </c>
      <c r="AE239" s="167" t="str">
        <f>CONCATENATE(U239,V239,W239,X239,AA239)</f>
        <v>O23011745032024025512004</v>
      </c>
      <c r="AF239" s="167" t="str">
        <f>IFERROR(VLOOKUP(AD239,TD!$J$70:$K$93,2,0)," ")</f>
        <v>PM/0131/0112/45030040255</v>
      </c>
      <c r="AG239" s="114" t="s">
        <v>385</v>
      </c>
      <c r="AH239" s="166" t="s">
        <v>193</v>
      </c>
      <c r="AI239" s="169" t="str">
        <f>CONCATENATE(PAA[[#This Row],[Id Interno]],"-",PAA[[#This Row],[tipo de Contrato (TH talento humano - B/S bienes y/o servicios)]],"-",S239,"-",T239,"-",PAA[[#This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40" spans="2:35" ht="56.15" customHeight="1" x14ac:dyDescent="0.35">
      <c r="B240" s="23">
        <v>20260201</v>
      </c>
      <c r="C240" s="97" t="s">
        <v>772</v>
      </c>
      <c r="D240" s="23" t="s">
        <v>105</v>
      </c>
      <c r="E240" s="23" t="s">
        <v>363</v>
      </c>
      <c r="F240" s="163" t="s">
        <v>144</v>
      </c>
      <c r="G240" s="164" t="s">
        <v>373</v>
      </c>
      <c r="H240" s="165">
        <v>5</v>
      </c>
      <c r="I240" s="165">
        <v>0</v>
      </c>
      <c r="J240" s="122">
        <v>30000000</v>
      </c>
      <c r="K240" s="88" t="s">
        <v>398</v>
      </c>
      <c r="L240" s="163" t="s">
        <v>157</v>
      </c>
      <c r="M240" s="166" t="s">
        <v>483</v>
      </c>
      <c r="N240" s="23" t="s">
        <v>198</v>
      </c>
      <c r="O240" s="144" t="s">
        <v>887</v>
      </c>
      <c r="P240" s="163" t="s">
        <v>348</v>
      </c>
      <c r="Q240" s="53">
        <v>80111600</v>
      </c>
      <c r="R240" s="166" t="s">
        <v>213</v>
      </c>
      <c r="S240" s="166" t="str">
        <f>MID(PAA[[#This Row],[Meta Proyecto de Inversión]],1,4)</f>
        <v>8173</v>
      </c>
      <c r="T240" s="166" t="str">
        <f>MID(PAA[[#This Row],[Meta Proyecto de Inversión]],6,2)</f>
        <v>4-</v>
      </c>
      <c r="U240" s="167" t="str">
        <f>IFERROR(VLOOKUP(N240,TD!$B$54:$F$58,2,0)," ")</f>
        <v>O230117</v>
      </c>
      <c r="V240" s="167" t="str">
        <f>IFERROR(VLOOKUP(N240,TD!$B$54:$F$58,3,0)," ")</f>
        <v>4503</v>
      </c>
      <c r="W240" s="167">
        <f>IFERROR(VLOOKUP(N240,TD!$B$54:$F$58,4,0)," ")</f>
        <v>20240255</v>
      </c>
      <c r="X240" s="166" t="s">
        <v>180</v>
      </c>
      <c r="Y240" s="167" t="str">
        <f>IFERROR(VLOOKUP(X240,TD!$J$55:$K$68,2,0)," ")</f>
        <v>Servicio de apoyo   logístico  en eventos operativos y/o emergencias.</v>
      </c>
      <c r="Z240" s="168" t="str">
        <f>CONCATENATE(X240,"-",Y240)</f>
        <v>12-Servicio de apoyo   logístico  en eventos operativos y/o emergencias.</v>
      </c>
      <c r="AA240" s="166" t="s">
        <v>221</v>
      </c>
      <c r="AB240" s="167" t="str">
        <f>IFERROR(VLOOKUP(AA240,TD!$N$55:$O$70,2,0)," ")</f>
        <v>Servicio de atención a emergencias y desastres</v>
      </c>
      <c r="AC240" s="168" t="str">
        <f>CONCATENATE(AA240,"_",AB240)</f>
        <v>004_Servicio de atención a emergencias y desastres</v>
      </c>
      <c r="AD240" s="168" t="str">
        <f>CONCATENATE(Z240," ",AC240)</f>
        <v>12-Servicio de apoyo   logístico  en eventos operativos y/o emergencias. 004_Servicio de atención a emergencias y desastres</v>
      </c>
      <c r="AE240" s="167" t="str">
        <f>CONCATENATE(U240,V240,W240,X240,AA240)</f>
        <v>O23011745032024025512004</v>
      </c>
      <c r="AF240" s="167" t="str">
        <f>IFERROR(VLOOKUP(AD240,TD!$J$70:$K$93,2,0)," ")</f>
        <v>PM/0131/0112/45030040255</v>
      </c>
      <c r="AG240" s="114" t="s">
        <v>385</v>
      </c>
      <c r="AH240" s="166" t="s">
        <v>193</v>
      </c>
      <c r="AI240" s="169" t="str">
        <f>CONCATENATE(PAA[[#This Row],[Id Interno]],"-",PAA[[#This Row],[tipo de Contrato (TH talento humano - B/S bienes y/o servicios)]],"-",S240,"-",T240,"-",PAA[[#This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41" spans="2:35" ht="70" x14ac:dyDescent="0.35">
      <c r="B241" s="23">
        <v>20260202</v>
      </c>
      <c r="C241" s="97" t="s">
        <v>773</v>
      </c>
      <c r="D241" s="23" t="s">
        <v>105</v>
      </c>
      <c r="E241" s="23" t="s">
        <v>363</v>
      </c>
      <c r="F241" s="163" t="s">
        <v>144</v>
      </c>
      <c r="G241" s="164" t="s">
        <v>373</v>
      </c>
      <c r="H241" s="165">
        <v>9</v>
      </c>
      <c r="I241" s="165">
        <v>0</v>
      </c>
      <c r="J241" s="122">
        <v>72000000</v>
      </c>
      <c r="K241" s="88" t="s">
        <v>398</v>
      </c>
      <c r="L241" s="163" t="s">
        <v>157</v>
      </c>
      <c r="M241" s="166" t="s">
        <v>483</v>
      </c>
      <c r="N241" s="23" t="s">
        <v>198</v>
      </c>
      <c r="O241" s="144" t="s">
        <v>887</v>
      </c>
      <c r="P241" s="163" t="s">
        <v>348</v>
      </c>
      <c r="Q241" s="53">
        <v>80111600</v>
      </c>
      <c r="R241" s="166" t="s">
        <v>213</v>
      </c>
      <c r="S241" s="166" t="str">
        <f>MID(PAA[[#This Row],[Meta Proyecto de Inversión]],1,4)</f>
        <v>8173</v>
      </c>
      <c r="T241" s="166" t="str">
        <f>MID(PAA[[#This Row],[Meta Proyecto de Inversión]],6,2)</f>
        <v>4-</v>
      </c>
      <c r="U241" s="167" t="str">
        <f>IFERROR(VLOOKUP(N241,TD!$B$54:$F$58,2,0)," ")</f>
        <v>O230117</v>
      </c>
      <c r="V241" s="167" t="str">
        <f>IFERROR(VLOOKUP(N241,TD!$B$54:$F$58,3,0)," ")</f>
        <v>4503</v>
      </c>
      <c r="W241" s="167">
        <f>IFERROR(VLOOKUP(N241,TD!$B$54:$F$58,4,0)," ")</f>
        <v>20240255</v>
      </c>
      <c r="X241" s="166" t="s">
        <v>180</v>
      </c>
      <c r="Y241" s="167" t="str">
        <f>IFERROR(VLOOKUP(X241,TD!$J$55:$K$68,2,0)," ")</f>
        <v>Servicio de apoyo   logístico  en eventos operativos y/o emergencias.</v>
      </c>
      <c r="Z241" s="168" t="str">
        <f>CONCATENATE(X241,"-",Y241)</f>
        <v>12-Servicio de apoyo   logístico  en eventos operativos y/o emergencias.</v>
      </c>
      <c r="AA241" s="166" t="s">
        <v>221</v>
      </c>
      <c r="AB241" s="167" t="str">
        <f>IFERROR(VLOOKUP(AA241,TD!$N$55:$O$70,2,0)," ")</f>
        <v>Servicio de atención a emergencias y desastres</v>
      </c>
      <c r="AC241" s="168" t="str">
        <f>CONCATENATE(AA241,"_",AB241)</f>
        <v>004_Servicio de atención a emergencias y desastres</v>
      </c>
      <c r="AD241" s="168" t="str">
        <f>CONCATENATE(Z241," ",AC241)</f>
        <v>12-Servicio de apoyo   logístico  en eventos operativos y/o emergencias. 004_Servicio de atención a emergencias y desastres</v>
      </c>
      <c r="AE241" s="167" t="str">
        <f>CONCATENATE(U241,V241,W241,X241,AA241)</f>
        <v>O23011745032024025512004</v>
      </c>
      <c r="AF241" s="167" t="str">
        <f>IFERROR(VLOOKUP(AD241,TD!$J$70:$K$93,2,0)," ")</f>
        <v>PM/0131/0112/45030040255</v>
      </c>
      <c r="AG241" s="114" t="s">
        <v>385</v>
      </c>
      <c r="AH241" s="166" t="s">
        <v>193</v>
      </c>
      <c r="AI241" s="169" t="str">
        <f>CONCATENATE(PAA[[#This Row],[Id Interno]],"-",PAA[[#This Row],[tipo de Contrato (TH talento humano - B/S bienes y/o servicios)]],"-",S241,"-",T241,"-",PAA[[#This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42" spans="2:35" ht="56" x14ac:dyDescent="0.35">
      <c r="B242" s="23">
        <v>20260203</v>
      </c>
      <c r="C242" s="97" t="s">
        <v>881</v>
      </c>
      <c r="D242" s="23" t="s">
        <v>105</v>
      </c>
      <c r="E242" s="23" t="s">
        <v>363</v>
      </c>
      <c r="F242" s="163" t="s">
        <v>144</v>
      </c>
      <c r="G242" s="164" t="s">
        <v>373</v>
      </c>
      <c r="H242" s="165">
        <v>9</v>
      </c>
      <c r="I242" s="165">
        <v>0</v>
      </c>
      <c r="J242" s="122">
        <v>35000000</v>
      </c>
      <c r="K242" s="88" t="s">
        <v>398</v>
      </c>
      <c r="L242" s="163" t="s">
        <v>157</v>
      </c>
      <c r="M242" s="166" t="s">
        <v>483</v>
      </c>
      <c r="N242" s="23" t="s">
        <v>198</v>
      </c>
      <c r="O242" s="144" t="s">
        <v>887</v>
      </c>
      <c r="P242" s="163" t="s">
        <v>348</v>
      </c>
      <c r="Q242" s="53">
        <v>80111600</v>
      </c>
      <c r="R242" s="166" t="s">
        <v>213</v>
      </c>
      <c r="S242" s="166" t="str">
        <f>MID(PAA[[#This Row],[Meta Proyecto de Inversión]],1,4)</f>
        <v>8173</v>
      </c>
      <c r="T242" s="166" t="str">
        <f>MID(PAA[[#This Row],[Meta Proyecto de Inversión]],6,2)</f>
        <v>4-</v>
      </c>
      <c r="U242" s="167" t="str">
        <f>IFERROR(VLOOKUP(N242,TD!$B$54:$F$58,2,0)," ")</f>
        <v>O230117</v>
      </c>
      <c r="V242" s="167" t="str">
        <f>IFERROR(VLOOKUP(N242,TD!$B$54:$F$58,3,0)," ")</f>
        <v>4503</v>
      </c>
      <c r="W242" s="167">
        <f>IFERROR(VLOOKUP(N242,TD!$B$54:$F$58,4,0)," ")</f>
        <v>20240255</v>
      </c>
      <c r="X242" s="166" t="s">
        <v>180</v>
      </c>
      <c r="Y242" s="167" t="str">
        <f>IFERROR(VLOOKUP(X242,TD!$J$55:$K$68,2,0)," ")</f>
        <v>Servicio de apoyo   logístico  en eventos operativos y/o emergencias.</v>
      </c>
      <c r="Z242" s="168" t="str">
        <f>CONCATENATE(X242,"-",Y242)</f>
        <v>12-Servicio de apoyo   logístico  en eventos operativos y/o emergencias.</v>
      </c>
      <c r="AA242" s="166" t="s">
        <v>221</v>
      </c>
      <c r="AB242" s="167" t="str">
        <f>IFERROR(VLOOKUP(AA242,TD!$N$55:$O$70,2,0)," ")</f>
        <v>Servicio de atención a emergencias y desastres</v>
      </c>
      <c r="AC242" s="168" t="str">
        <f>CONCATENATE(AA242,"_",AB242)</f>
        <v>004_Servicio de atención a emergencias y desastres</v>
      </c>
      <c r="AD242" s="168" t="str">
        <f>CONCATENATE(Z242," ",AC242)</f>
        <v>12-Servicio de apoyo   logístico  en eventos operativos y/o emergencias. 004_Servicio de atención a emergencias y desastres</v>
      </c>
      <c r="AE242" s="167" t="str">
        <f>CONCATENATE(U242,V242,W242,X242,AA242)</f>
        <v>O23011745032024025512004</v>
      </c>
      <c r="AF242" s="167" t="str">
        <f>IFERROR(VLOOKUP(AD242,TD!$J$70:$K$93,2,0)," ")</f>
        <v>PM/0131/0112/45030040255</v>
      </c>
      <c r="AG242" s="114" t="s">
        <v>385</v>
      </c>
      <c r="AH242" s="166" t="s">
        <v>193</v>
      </c>
      <c r="AI242" s="169" t="str">
        <f>CONCATENATE(PAA[[#This Row],[Id Interno]],"-",PAA[[#This Row],[tipo de Contrato (TH talento humano - B/S bienes y/o servicios)]],"-",S242,"-",T242,"-",PAA[[#This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43" spans="2:35" ht="56" x14ac:dyDescent="0.35">
      <c r="B243" s="23">
        <v>20260204</v>
      </c>
      <c r="C243" s="97" t="s">
        <v>774</v>
      </c>
      <c r="D243" s="23" t="s">
        <v>105</v>
      </c>
      <c r="E243" s="23" t="s">
        <v>363</v>
      </c>
      <c r="F243" s="163" t="s">
        <v>144</v>
      </c>
      <c r="G243" s="164" t="s">
        <v>373</v>
      </c>
      <c r="H243" s="165">
        <v>11</v>
      </c>
      <c r="I243" s="165">
        <v>0</v>
      </c>
      <c r="J243" s="122">
        <v>109924440</v>
      </c>
      <c r="K243" s="88" t="s">
        <v>398</v>
      </c>
      <c r="L243" s="163" t="s">
        <v>157</v>
      </c>
      <c r="M243" s="166" t="s">
        <v>483</v>
      </c>
      <c r="N243" s="23" t="s">
        <v>198</v>
      </c>
      <c r="O243" s="144" t="s">
        <v>887</v>
      </c>
      <c r="P243" s="163" t="s">
        <v>348</v>
      </c>
      <c r="Q243" s="53">
        <v>80111600</v>
      </c>
      <c r="R243" s="166" t="s">
        <v>213</v>
      </c>
      <c r="S243" s="166" t="str">
        <f>MID(PAA[[#This Row],[Meta Proyecto de Inversión]],1,4)</f>
        <v>8173</v>
      </c>
      <c r="T243" s="166" t="str">
        <f>MID(PAA[[#This Row],[Meta Proyecto de Inversión]],6,2)</f>
        <v>4-</v>
      </c>
      <c r="U243" s="167" t="str">
        <f>IFERROR(VLOOKUP(N243,TD!$B$54:$F$58,2,0)," ")</f>
        <v>O230117</v>
      </c>
      <c r="V243" s="167" t="str">
        <f>IFERROR(VLOOKUP(N243,TD!$B$54:$F$58,3,0)," ")</f>
        <v>4503</v>
      </c>
      <c r="W243" s="167">
        <f>IFERROR(VLOOKUP(N243,TD!$B$54:$F$58,4,0)," ")</f>
        <v>20240255</v>
      </c>
      <c r="X243" s="166" t="s">
        <v>180</v>
      </c>
      <c r="Y243" s="167" t="str">
        <f>IFERROR(VLOOKUP(X243,TD!$J$55:$K$68,2,0)," ")</f>
        <v>Servicio de apoyo   logístico  en eventos operativos y/o emergencias.</v>
      </c>
      <c r="Z243" s="168" t="str">
        <f>CONCATENATE(X243,"-",Y243)</f>
        <v>12-Servicio de apoyo   logístico  en eventos operativos y/o emergencias.</v>
      </c>
      <c r="AA243" s="166" t="s">
        <v>221</v>
      </c>
      <c r="AB243" s="167" t="str">
        <f>IFERROR(VLOOKUP(AA243,TD!$N$55:$O$70,2,0)," ")</f>
        <v>Servicio de atención a emergencias y desastres</v>
      </c>
      <c r="AC243" s="168" t="str">
        <f>CONCATENATE(AA243,"_",AB243)</f>
        <v>004_Servicio de atención a emergencias y desastres</v>
      </c>
      <c r="AD243" s="168" t="str">
        <f>CONCATENATE(Z243," ",AC243)</f>
        <v>12-Servicio de apoyo   logístico  en eventos operativos y/o emergencias. 004_Servicio de atención a emergencias y desastres</v>
      </c>
      <c r="AE243" s="167" t="str">
        <f>CONCATENATE(U243,V243,W243,X243,AA243)</f>
        <v>O23011745032024025512004</v>
      </c>
      <c r="AF243" s="167" t="str">
        <f>IFERROR(VLOOKUP(AD243,TD!$J$70:$K$93,2,0)," ")</f>
        <v>PM/0131/0112/45030040255</v>
      </c>
      <c r="AG243" s="114" t="s">
        <v>385</v>
      </c>
      <c r="AH243" s="166" t="s">
        <v>193</v>
      </c>
      <c r="AI243" s="169" t="str">
        <f>CONCATENATE(PAA[[#This Row],[Id Interno]],"-",PAA[[#This Row],[tipo de Contrato (TH talento humano - B/S bienes y/o servicios)]],"-",S243,"-",T243,"-",PAA[[#This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44" spans="2:35" ht="56" x14ac:dyDescent="0.35">
      <c r="B244" s="23">
        <v>20260205</v>
      </c>
      <c r="C244" s="97" t="s">
        <v>620</v>
      </c>
      <c r="D244" s="23" t="s">
        <v>105</v>
      </c>
      <c r="E244" s="23" t="s">
        <v>363</v>
      </c>
      <c r="F244" s="163" t="s">
        <v>144</v>
      </c>
      <c r="G244" s="164" t="s">
        <v>373</v>
      </c>
      <c r="H244" s="165">
        <v>9</v>
      </c>
      <c r="I244" s="165">
        <v>0</v>
      </c>
      <c r="J244" s="122">
        <v>36000000</v>
      </c>
      <c r="K244" s="88" t="s">
        <v>398</v>
      </c>
      <c r="L244" s="163" t="s">
        <v>157</v>
      </c>
      <c r="M244" s="166" t="s">
        <v>483</v>
      </c>
      <c r="N244" s="23" t="s">
        <v>198</v>
      </c>
      <c r="O244" s="144" t="s">
        <v>887</v>
      </c>
      <c r="P244" s="163" t="s">
        <v>348</v>
      </c>
      <c r="Q244" s="53">
        <v>80111600</v>
      </c>
      <c r="R244" s="166" t="s">
        <v>213</v>
      </c>
      <c r="S244" s="166" t="str">
        <f>MID(PAA[[#This Row],[Meta Proyecto de Inversión]],1,4)</f>
        <v>8173</v>
      </c>
      <c r="T244" s="166" t="str">
        <f>MID(PAA[[#This Row],[Meta Proyecto de Inversión]],6,2)</f>
        <v>4-</v>
      </c>
      <c r="U244" s="167" t="str">
        <f>IFERROR(VLOOKUP(N244,TD!$B$54:$F$58,2,0)," ")</f>
        <v>O230117</v>
      </c>
      <c r="V244" s="167" t="str">
        <f>IFERROR(VLOOKUP(N244,TD!$B$54:$F$58,3,0)," ")</f>
        <v>4503</v>
      </c>
      <c r="W244" s="167">
        <f>IFERROR(VLOOKUP(N244,TD!$B$54:$F$58,4,0)," ")</f>
        <v>20240255</v>
      </c>
      <c r="X244" s="166" t="s">
        <v>180</v>
      </c>
      <c r="Y244" s="167" t="str">
        <f>IFERROR(VLOOKUP(X244,TD!$J$55:$K$68,2,0)," ")</f>
        <v>Servicio de apoyo   logístico  en eventos operativos y/o emergencias.</v>
      </c>
      <c r="Z244" s="168" t="str">
        <f>CONCATENATE(X244,"-",Y244)</f>
        <v>12-Servicio de apoyo   logístico  en eventos operativos y/o emergencias.</v>
      </c>
      <c r="AA244" s="166" t="s">
        <v>221</v>
      </c>
      <c r="AB244" s="167" t="str">
        <f>IFERROR(VLOOKUP(AA244,TD!$N$55:$O$70,2,0)," ")</f>
        <v>Servicio de atención a emergencias y desastres</v>
      </c>
      <c r="AC244" s="168" t="str">
        <f>CONCATENATE(AA244,"_",AB244)</f>
        <v>004_Servicio de atención a emergencias y desastres</v>
      </c>
      <c r="AD244" s="168" t="str">
        <f>CONCATENATE(Z244," ",AC244)</f>
        <v>12-Servicio de apoyo   logístico  en eventos operativos y/o emergencias. 004_Servicio de atención a emergencias y desastres</v>
      </c>
      <c r="AE244" s="167" t="str">
        <f>CONCATENATE(U244,V244,W244,X244,AA244)</f>
        <v>O23011745032024025512004</v>
      </c>
      <c r="AF244" s="167" t="str">
        <f>IFERROR(VLOOKUP(AD244,TD!$J$70:$K$93,2,0)," ")</f>
        <v>PM/0131/0112/45030040255</v>
      </c>
      <c r="AG244" s="114" t="s">
        <v>385</v>
      </c>
      <c r="AH244" s="166" t="s">
        <v>193</v>
      </c>
      <c r="AI244" s="169" t="str">
        <f>CONCATENATE(PAA[[#This Row],[Id Interno]],"-",PAA[[#This Row],[tipo de Contrato (TH talento humano - B/S bienes y/o servicios)]],"-",S244,"-",T244,"-",PAA[[#This Row],[Objeto de la contratación]])</f>
        <v>20260205-TH-8173-4--Prestar los servicios profesionales para la gestión, financiera de los proyectos y procesos para el fortalecimiento de las estrategías de la Subdirección Logística - SBLG.</v>
      </c>
    </row>
    <row r="245" spans="2:35" ht="56" customHeight="1" x14ac:dyDescent="0.3">
      <c r="B245" s="23">
        <v>20260206</v>
      </c>
      <c r="C245" s="140" t="s">
        <v>882</v>
      </c>
      <c r="D245" s="23" t="s">
        <v>105</v>
      </c>
      <c r="E245" s="23" t="s">
        <v>363</v>
      </c>
      <c r="F245" s="163" t="s">
        <v>144</v>
      </c>
      <c r="G245" s="164" t="s">
        <v>373</v>
      </c>
      <c r="H245" s="165">
        <v>7</v>
      </c>
      <c r="I245" s="165">
        <v>15</v>
      </c>
      <c r="J245" s="122">
        <v>45000000</v>
      </c>
      <c r="K245" s="88" t="s">
        <v>398</v>
      </c>
      <c r="L245" s="163" t="s">
        <v>157</v>
      </c>
      <c r="M245" s="166" t="s">
        <v>483</v>
      </c>
      <c r="N245" s="23" t="s">
        <v>198</v>
      </c>
      <c r="O245" s="144" t="s">
        <v>887</v>
      </c>
      <c r="P245" s="163" t="s">
        <v>348</v>
      </c>
      <c r="Q245" s="53">
        <v>80111600</v>
      </c>
      <c r="R245" s="166" t="s">
        <v>213</v>
      </c>
      <c r="S245" s="166" t="str">
        <f>MID(PAA[[#This Row],[Meta Proyecto de Inversión]],1,4)</f>
        <v>8173</v>
      </c>
      <c r="T245" s="166" t="str">
        <f>MID(PAA[[#This Row],[Meta Proyecto de Inversión]],6,2)</f>
        <v>4-</v>
      </c>
      <c r="U245" s="167" t="str">
        <f>IFERROR(VLOOKUP(N245,TD!$B$54:$F$58,2,0)," ")</f>
        <v>O230117</v>
      </c>
      <c r="V245" s="167" t="str">
        <f>IFERROR(VLOOKUP(N245,TD!$B$54:$F$58,3,0)," ")</f>
        <v>4503</v>
      </c>
      <c r="W245" s="167">
        <f>IFERROR(VLOOKUP(N245,TD!$B$54:$F$58,4,0)," ")</f>
        <v>20240255</v>
      </c>
      <c r="X245" s="166" t="s">
        <v>180</v>
      </c>
      <c r="Y245" s="167" t="str">
        <f>IFERROR(VLOOKUP(X245,TD!$J$55:$K$68,2,0)," ")</f>
        <v>Servicio de apoyo   logístico  en eventos operativos y/o emergencias.</v>
      </c>
      <c r="Z245" s="168" t="str">
        <f>CONCATENATE(X245,"-",Y245)</f>
        <v>12-Servicio de apoyo   logístico  en eventos operativos y/o emergencias.</v>
      </c>
      <c r="AA245" s="166" t="s">
        <v>221</v>
      </c>
      <c r="AB245" s="167" t="str">
        <f>IFERROR(VLOOKUP(AA245,TD!$N$55:$O$70,2,0)," ")</f>
        <v>Servicio de atención a emergencias y desastres</v>
      </c>
      <c r="AC245" s="168" t="str">
        <f>CONCATENATE(AA245,"_",AB245)</f>
        <v>004_Servicio de atención a emergencias y desastres</v>
      </c>
      <c r="AD245" s="168" t="str">
        <f>CONCATENATE(Z245," ",AC245)</f>
        <v>12-Servicio de apoyo   logístico  en eventos operativos y/o emergencias. 004_Servicio de atención a emergencias y desastres</v>
      </c>
      <c r="AE245" s="167" t="str">
        <f>CONCATENATE(U245,V245,W245,X245,AA245)</f>
        <v>O23011745032024025512004</v>
      </c>
      <c r="AF245" s="167" t="str">
        <f>IFERROR(VLOOKUP(AD245,TD!$J$70:$K$93,2,0)," ")</f>
        <v>PM/0131/0112/45030040255</v>
      </c>
      <c r="AG245" s="114" t="s">
        <v>385</v>
      </c>
      <c r="AH245" s="166" t="s">
        <v>193</v>
      </c>
      <c r="AI245" s="169" t="str">
        <f>CONCATENATE(PAA[[#This Row],[Id Interno]],"-",PAA[[#This Row],[tipo de Contrato (TH talento humano - B/S bienes y/o servicios)]],"-",S245,"-",T245,"-",PAA[[#This Row],[Objeto de la contratación]])</f>
        <v>20260206-TH-8173-4--Prestación de servicios profesionales para apoyar la gestión financiera y presupuestal de los proyectos, planes y estrategias a cargo de la Subdirección Logística - SBLG</v>
      </c>
    </row>
    <row r="246" spans="2:35" ht="42" customHeight="1" x14ac:dyDescent="0.35">
      <c r="B246" s="23">
        <v>20260207</v>
      </c>
      <c r="C246" s="97" t="s">
        <v>621</v>
      </c>
      <c r="D246" s="23" t="s">
        <v>105</v>
      </c>
      <c r="E246" s="23" t="s">
        <v>363</v>
      </c>
      <c r="F246" s="163" t="s">
        <v>145</v>
      </c>
      <c r="G246" s="164" t="s">
        <v>373</v>
      </c>
      <c r="H246" s="165">
        <v>7</v>
      </c>
      <c r="I246" s="165">
        <v>15</v>
      </c>
      <c r="J246" s="122">
        <v>28000000</v>
      </c>
      <c r="K246" s="88" t="s">
        <v>398</v>
      </c>
      <c r="L246" s="163" t="s">
        <v>157</v>
      </c>
      <c r="M246" s="166" t="s">
        <v>483</v>
      </c>
      <c r="N246" s="23" t="s">
        <v>198</v>
      </c>
      <c r="O246" s="144" t="s">
        <v>887</v>
      </c>
      <c r="P246" s="163" t="s">
        <v>348</v>
      </c>
      <c r="Q246" s="53">
        <v>80111600</v>
      </c>
      <c r="R246" s="166" t="s">
        <v>213</v>
      </c>
      <c r="S246" s="166" t="str">
        <f>MID(PAA[[#This Row],[Meta Proyecto de Inversión]],1,4)</f>
        <v>8173</v>
      </c>
      <c r="T246" s="166" t="str">
        <f>MID(PAA[[#This Row],[Meta Proyecto de Inversión]],6,2)</f>
        <v>4-</v>
      </c>
      <c r="U246" s="167" t="str">
        <f>IFERROR(VLOOKUP(N246,TD!$B$54:$F$58,2,0)," ")</f>
        <v>O230117</v>
      </c>
      <c r="V246" s="167" t="str">
        <f>IFERROR(VLOOKUP(N246,TD!$B$54:$F$58,3,0)," ")</f>
        <v>4503</v>
      </c>
      <c r="W246" s="167">
        <f>IFERROR(VLOOKUP(N246,TD!$B$54:$F$58,4,0)," ")</f>
        <v>20240255</v>
      </c>
      <c r="X246" s="166" t="s">
        <v>180</v>
      </c>
      <c r="Y246" s="167" t="str">
        <f>IFERROR(VLOOKUP(X246,TD!$J$55:$K$68,2,0)," ")</f>
        <v>Servicio de apoyo   logístico  en eventos operativos y/o emergencias.</v>
      </c>
      <c r="Z246" s="168" t="str">
        <f>CONCATENATE(X246,"-",Y246)</f>
        <v>12-Servicio de apoyo   logístico  en eventos operativos y/o emergencias.</v>
      </c>
      <c r="AA246" s="171" t="s">
        <v>221</v>
      </c>
      <c r="AB246" s="167" t="str">
        <f>IFERROR(VLOOKUP(AA246,TD!$N$55:$O$70,2,0)," ")</f>
        <v>Servicio de atención a emergencias y desastres</v>
      </c>
      <c r="AC246" s="168" t="str">
        <f>CONCATENATE(AA246,"_",AB246)</f>
        <v>004_Servicio de atención a emergencias y desastres</v>
      </c>
      <c r="AD246" s="168" t="str">
        <f>CONCATENATE(Z246," ",AC246)</f>
        <v>12-Servicio de apoyo   logístico  en eventos operativos y/o emergencias. 004_Servicio de atención a emergencias y desastres</v>
      </c>
      <c r="AE246" s="167" t="str">
        <f>CONCATENATE(U246,V246,W246,X246,AA246)</f>
        <v>O23011745032024025512004</v>
      </c>
      <c r="AF246" s="167" t="str">
        <f>IFERROR(VLOOKUP(AD246,TD!$J$70:$K$93,2,0)," ")</f>
        <v>PM/0131/0112/45030040255</v>
      </c>
      <c r="AG246" s="114" t="s">
        <v>385</v>
      </c>
      <c r="AH246" s="166" t="s">
        <v>193</v>
      </c>
      <c r="AI246" s="169" t="str">
        <f>CONCATENATE(PAA[[#This Row],[Id Interno]],"-",PAA[[#This Row],[tipo de Contrato (TH talento humano - B/S bienes y/o servicios)]],"-",S246,"-",T246,"-",PAA[[#This Row],[Objeto de la contratación]])</f>
        <v>20260207-TH-8173-4--Prestar servicios de apoyo técnico en asuntos administrativos, financieros, documentales y emisión de informes para el desarrollo de las estrategías de la Subdireccion Logística-SBLG</v>
      </c>
    </row>
    <row r="247" spans="2:35" ht="115" customHeight="1" x14ac:dyDescent="0.35">
      <c r="B247" s="23">
        <v>20260208</v>
      </c>
      <c r="C247" s="97" t="s">
        <v>775</v>
      </c>
      <c r="D247" s="23" t="s">
        <v>105</v>
      </c>
      <c r="E247" s="23" t="s">
        <v>363</v>
      </c>
      <c r="F247" s="163" t="s">
        <v>144</v>
      </c>
      <c r="G247" s="164" t="s">
        <v>373</v>
      </c>
      <c r="H247" s="165">
        <v>10</v>
      </c>
      <c r="I247" s="165">
        <v>0</v>
      </c>
      <c r="J247" s="122">
        <v>61200000</v>
      </c>
      <c r="K247" s="88" t="s">
        <v>398</v>
      </c>
      <c r="L247" s="163" t="s">
        <v>157</v>
      </c>
      <c r="M247" s="166" t="s">
        <v>483</v>
      </c>
      <c r="N247" s="23" t="s">
        <v>198</v>
      </c>
      <c r="O247" s="144" t="s">
        <v>887</v>
      </c>
      <c r="P247" s="163" t="s">
        <v>348</v>
      </c>
      <c r="Q247" s="53">
        <v>80111600</v>
      </c>
      <c r="R247" s="166" t="s">
        <v>213</v>
      </c>
      <c r="S247" s="166" t="str">
        <f>MID(PAA[[#This Row],[Meta Proyecto de Inversión]],1,4)</f>
        <v>8173</v>
      </c>
      <c r="T247" s="166" t="str">
        <f>MID(PAA[[#This Row],[Meta Proyecto de Inversión]],6,2)</f>
        <v>4-</v>
      </c>
      <c r="U247" s="167" t="str">
        <f>IFERROR(VLOOKUP(N247,TD!$B$54:$F$58,2,0)," ")</f>
        <v>O230117</v>
      </c>
      <c r="V247" s="167" t="str">
        <f>IFERROR(VLOOKUP(N247,TD!$B$54:$F$58,3,0)," ")</f>
        <v>4503</v>
      </c>
      <c r="W247" s="167">
        <f>IFERROR(VLOOKUP(N247,TD!$B$54:$F$58,4,0)," ")</f>
        <v>20240255</v>
      </c>
      <c r="X247" s="166" t="s">
        <v>180</v>
      </c>
      <c r="Y247" s="167" t="str">
        <f>IFERROR(VLOOKUP(X247,TD!$J$55:$K$68,2,0)," ")</f>
        <v>Servicio de apoyo   logístico  en eventos operativos y/o emergencias.</v>
      </c>
      <c r="Z247" s="168" t="str">
        <f>CONCATENATE(X247,"-",Y247)</f>
        <v>12-Servicio de apoyo   logístico  en eventos operativos y/o emergencias.</v>
      </c>
      <c r="AA247" s="166" t="s">
        <v>221</v>
      </c>
      <c r="AB247" s="167" t="str">
        <f>IFERROR(VLOOKUP(AA247,TD!$N$55:$O$70,2,0)," ")</f>
        <v>Servicio de atención a emergencias y desastres</v>
      </c>
      <c r="AC247" s="168" t="str">
        <f>CONCATENATE(AA247,"_",AB247)</f>
        <v>004_Servicio de atención a emergencias y desastres</v>
      </c>
      <c r="AD247" s="168" t="str">
        <f>CONCATENATE(Z247," ",AC247)</f>
        <v>12-Servicio de apoyo   logístico  en eventos operativos y/o emergencias. 004_Servicio de atención a emergencias y desastres</v>
      </c>
      <c r="AE247" s="167" t="str">
        <f>CONCATENATE(U247,V247,W247,X247,AA247)</f>
        <v>O23011745032024025512004</v>
      </c>
      <c r="AF247" s="167" t="str">
        <f>IFERROR(VLOOKUP(AD247,TD!$J$70:$K$93,2,0)," ")</f>
        <v>PM/0131/0112/45030040255</v>
      </c>
      <c r="AG247" s="114" t="s">
        <v>385</v>
      </c>
      <c r="AH247" s="166" t="s">
        <v>193</v>
      </c>
      <c r="AI247" s="169" t="str">
        <f>CONCATENATE(PAA[[#This Row],[Id Interno]],"-",PAA[[#This Row],[tipo de Contrato (TH talento humano - B/S bienes y/o servicios)]],"-",S247,"-",T247,"-",PAA[[#This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48" spans="2:35" ht="42" x14ac:dyDescent="0.35">
      <c r="B248" s="23">
        <v>20260209</v>
      </c>
      <c r="C248" s="97" t="s">
        <v>502</v>
      </c>
      <c r="D248" s="23" t="s">
        <v>105</v>
      </c>
      <c r="E248" s="23" t="s">
        <v>363</v>
      </c>
      <c r="F248" s="163" t="s">
        <v>144</v>
      </c>
      <c r="G248" s="164" t="s">
        <v>373</v>
      </c>
      <c r="H248" s="165">
        <v>10</v>
      </c>
      <c r="I248" s="165">
        <v>0</v>
      </c>
      <c r="J248" s="122">
        <v>83700000</v>
      </c>
      <c r="K248" s="88" t="s">
        <v>398</v>
      </c>
      <c r="L248" s="163" t="s">
        <v>157</v>
      </c>
      <c r="M248" s="166" t="s">
        <v>483</v>
      </c>
      <c r="N248" s="23" t="s">
        <v>198</v>
      </c>
      <c r="O248" s="144" t="s">
        <v>887</v>
      </c>
      <c r="P248" s="163" t="s">
        <v>348</v>
      </c>
      <c r="Q248" s="53">
        <v>80111600</v>
      </c>
      <c r="R248" s="166" t="s">
        <v>213</v>
      </c>
      <c r="S248" s="166" t="str">
        <f>MID(PAA[[#This Row],[Meta Proyecto de Inversión]],1,4)</f>
        <v>8173</v>
      </c>
      <c r="T248" s="166" t="str">
        <f>MID(PAA[[#This Row],[Meta Proyecto de Inversión]],6,2)</f>
        <v>4-</v>
      </c>
      <c r="U248" s="167" t="str">
        <f>IFERROR(VLOOKUP(N248,TD!$B$54:$F$58,2,0)," ")</f>
        <v>O230117</v>
      </c>
      <c r="V248" s="167" t="str">
        <f>IFERROR(VLOOKUP(N248,TD!$B$54:$F$58,3,0)," ")</f>
        <v>4503</v>
      </c>
      <c r="W248" s="167">
        <f>IFERROR(VLOOKUP(N248,TD!$B$54:$F$58,4,0)," ")</f>
        <v>20240255</v>
      </c>
      <c r="X248" s="166" t="s">
        <v>176</v>
      </c>
      <c r="Y248" s="167" t="str">
        <f>IFERROR(VLOOKUP(X248,TD!$J$55:$K$68,2,0)," ")</f>
        <v>Servicio de mantenimiento, dotación (HEA´s y equipo menor) y adquisición de vehiculos   especializados para la atención de emergencias.</v>
      </c>
      <c r="Z248" s="168" t="str">
        <f>CONCATENATE(X248,"-",Y248)</f>
        <v>09-Servicio de mantenimiento, dotación (HEA´s y equipo menor) y adquisición de vehiculos   especializados para la atención de emergencias.</v>
      </c>
      <c r="AA248" s="166" t="s">
        <v>221</v>
      </c>
      <c r="AB248" s="167" t="str">
        <f>IFERROR(VLOOKUP(AA248,TD!$N$55:$O$70,2,0)," ")</f>
        <v>Servicio de atención a emergencias y desastres</v>
      </c>
      <c r="AC248" s="168" t="str">
        <f>CONCATENATE(AA248,"_",AB248)</f>
        <v>004_Servicio de atención a emergencias y desastres</v>
      </c>
      <c r="AD248" s="168" t="str">
        <f>CONCATENATE(Z248," ",AC248)</f>
        <v>09-Servicio de mantenimiento, dotación (HEA´s y equipo menor) y adquisición de vehiculos   especializados para la atención de emergencias. 004_Servicio de atención a emergencias y desastres</v>
      </c>
      <c r="AE248" s="167" t="str">
        <f>CONCATENATE(U248,V248,W248,X248,AA248)</f>
        <v>O23011745032024025509004</v>
      </c>
      <c r="AF248" s="167" t="str">
        <f>IFERROR(VLOOKUP(AD248,TD!$J$70:$K$93,2,0)," ")</f>
        <v>PM/0131/0109/45030040255</v>
      </c>
      <c r="AG248" s="114" t="s">
        <v>385</v>
      </c>
      <c r="AH248" s="166" t="s">
        <v>193</v>
      </c>
      <c r="AI248" s="169" t="str">
        <f>CONCATENATE(PAA[[#This Row],[Id Interno]],"-",PAA[[#This Row],[tipo de Contrato (TH talento humano - B/S bienes y/o servicios)]],"-",S248,"-",T248,"-",PAA[[#This Row],[Objeto de la contratación]])</f>
        <v>20260209-TH-8173-4--Prestación de servicios profesionales para la gestión, seguimiento y control administrativo, técnico y operativo del proceso de mantenimiento del parque automotor a cargo de la Subdirección Logística - SBLG.</v>
      </c>
    </row>
    <row r="249" spans="2:35" ht="56" customHeight="1" x14ac:dyDescent="0.35">
      <c r="B249" s="23">
        <v>20260210</v>
      </c>
      <c r="C249" s="97" t="s">
        <v>502</v>
      </c>
      <c r="D249" s="23" t="s">
        <v>105</v>
      </c>
      <c r="E249" s="23" t="s">
        <v>363</v>
      </c>
      <c r="F249" s="163" t="s">
        <v>144</v>
      </c>
      <c r="G249" s="164" t="s">
        <v>373</v>
      </c>
      <c r="H249" s="165">
        <v>9</v>
      </c>
      <c r="I249" s="165">
        <v>0</v>
      </c>
      <c r="J249" s="122">
        <v>64000000</v>
      </c>
      <c r="K249" s="88" t="s">
        <v>398</v>
      </c>
      <c r="L249" s="163" t="s">
        <v>157</v>
      </c>
      <c r="M249" s="166" t="s">
        <v>483</v>
      </c>
      <c r="N249" s="23" t="s">
        <v>198</v>
      </c>
      <c r="O249" s="144" t="s">
        <v>887</v>
      </c>
      <c r="P249" s="163" t="s">
        <v>348</v>
      </c>
      <c r="Q249" s="53">
        <v>80111600</v>
      </c>
      <c r="R249" s="166" t="s">
        <v>213</v>
      </c>
      <c r="S249" s="166" t="str">
        <f>MID(PAA[[#This Row],[Meta Proyecto de Inversión]],1,4)</f>
        <v>8173</v>
      </c>
      <c r="T249" s="166" t="str">
        <f>MID(PAA[[#This Row],[Meta Proyecto de Inversión]],6,2)</f>
        <v>4-</v>
      </c>
      <c r="U249" s="167" t="str">
        <f>IFERROR(VLOOKUP(N249,TD!$B$54:$F$58,2,0)," ")</f>
        <v>O230117</v>
      </c>
      <c r="V249" s="167" t="str">
        <f>IFERROR(VLOOKUP(N249,TD!$B$54:$F$58,3,0)," ")</f>
        <v>4503</v>
      </c>
      <c r="W249" s="167">
        <f>IFERROR(VLOOKUP(N249,TD!$B$54:$F$58,4,0)," ")</f>
        <v>20240255</v>
      </c>
      <c r="X249" s="166" t="s">
        <v>176</v>
      </c>
      <c r="Y249" s="167" t="str">
        <f>IFERROR(VLOOKUP(X249,TD!$J$55:$K$68,2,0)," ")</f>
        <v>Servicio de mantenimiento, dotación (HEA´s y equipo menor) y adquisición de vehiculos   especializados para la atención de emergencias.</v>
      </c>
      <c r="Z249" s="168" t="str">
        <f>CONCATENATE(X249,"-",Y249)</f>
        <v>09-Servicio de mantenimiento, dotación (HEA´s y equipo menor) y adquisición de vehiculos   especializados para la atención de emergencias.</v>
      </c>
      <c r="AA249" s="166" t="s">
        <v>221</v>
      </c>
      <c r="AB249" s="167" t="str">
        <f>IFERROR(VLOOKUP(AA249,TD!$N$55:$O$70,2,0)," ")</f>
        <v>Servicio de atención a emergencias y desastres</v>
      </c>
      <c r="AC249" s="168" t="str">
        <f>CONCATENATE(AA249,"_",AB249)</f>
        <v>004_Servicio de atención a emergencias y desastres</v>
      </c>
      <c r="AD249" s="168" t="str">
        <f>CONCATENATE(Z249," ",AC249)</f>
        <v>09-Servicio de mantenimiento, dotación (HEA´s y equipo menor) y adquisición de vehiculos   especializados para la atención de emergencias. 004_Servicio de atención a emergencias y desastres</v>
      </c>
      <c r="AE249" s="167" t="str">
        <f>CONCATENATE(U249,V249,W249,X249,AA249)</f>
        <v>O23011745032024025509004</v>
      </c>
      <c r="AF249" s="167" t="str">
        <f>IFERROR(VLOOKUP(AD249,TD!$J$70:$K$93,2,0)," ")</f>
        <v>PM/0131/0109/45030040255</v>
      </c>
      <c r="AG249" s="114" t="s">
        <v>385</v>
      </c>
      <c r="AH249" s="166" t="s">
        <v>193</v>
      </c>
      <c r="AI249" s="169" t="str">
        <f>CONCATENATE(PAA[[#This Row],[Id Interno]],"-",PAA[[#This Row],[tipo de Contrato (TH talento humano - B/S bienes y/o servicios)]],"-",S249,"-",T249,"-",PAA[[#This Row],[Objeto de la contratación]])</f>
        <v>20260210-TH-8173-4--Prestación de servicios profesionales para la gestión, seguimiento y control administrativo, técnico y operativo del proceso de mantenimiento del parque automotor a cargo de la Subdirección Logística - SBLG.</v>
      </c>
    </row>
    <row r="250" spans="2:35" ht="56" x14ac:dyDescent="0.35">
      <c r="B250" s="23">
        <v>20260211</v>
      </c>
      <c r="C250" s="97" t="s">
        <v>776</v>
      </c>
      <c r="D250" s="23" t="s">
        <v>105</v>
      </c>
      <c r="E250" s="23" t="s">
        <v>363</v>
      </c>
      <c r="F250" s="163" t="s">
        <v>144</v>
      </c>
      <c r="G250" s="164" t="s">
        <v>373</v>
      </c>
      <c r="H250" s="165">
        <v>7</v>
      </c>
      <c r="I250" s="165">
        <v>0</v>
      </c>
      <c r="J250" s="122">
        <v>52500000</v>
      </c>
      <c r="K250" s="88" t="s">
        <v>398</v>
      </c>
      <c r="L250" s="163" t="s">
        <v>157</v>
      </c>
      <c r="M250" s="166" t="s">
        <v>483</v>
      </c>
      <c r="N250" s="23" t="s">
        <v>198</v>
      </c>
      <c r="O250" s="144" t="s">
        <v>887</v>
      </c>
      <c r="P250" s="163" t="s">
        <v>348</v>
      </c>
      <c r="Q250" s="53">
        <v>80111600</v>
      </c>
      <c r="R250" s="166" t="s">
        <v>213</v>
      </c>
      <c r="S250" s="166" t="str">
        <f>MID(PAA[[#This Row],[Meta Proyecto de Inversión]],1,4)</f>
        <v>8173</v>
      </c>
      <c r="T250" s="166" t="str">
        <f>MID(PAA[[#This Row],[Meta Proyecto de Inversión]],6,2)</f>
        <v>4-</v>
      </c>
      <c r="U250" s="167" t="str">
        <f>IFERROR(VLOOKUP(N250,TD!$B$54:$F$58,2,0)," ")</f>
        <v>O230117</v>
      </c>
      <c r="V250" s="167" t="str">
        <f>IFERROR(VLOOKUP(N250,TD!$B$54:$F$58,3,0)," ")</f>
        <v>4503</v>
      </c>
      <c r="W250" s="167">
        <f>IFERROR(VLOOKUP(N250,TD!$B$54:$F$58,4,0)," ")</f>
        <v>20240255</v>
      </c>
      <c r="X250" s="166" t="s">
        <v>176</v>
      </c>
      <c r="Y250" s="167" t="str">
        <f>IFERROR(VLOOKUP(X250,TD!$J$55:$K$68,2,0)," ")</f>
        <v>Servicio de mantenimiento, dotación (HEA´s y equipo menor) y adquisición de vehiculos   especializados para la atención de emergencias.</v>
      </c>
      <c r="Z250" s="168" t="str">
        <f>CONCATENATE(X250,"-",Y250)</f>
        <v>09-Servicio de mantenimiento, dotación (HEA´s y equipo menor) y adquisición de vehiculos   especializados para la atención de emergencias.</v>
      </c>
      <c r="AA250" s="166" t="s">
        <v>221</v>
      </c>
      <c r="AB250" s="167" t="str">
        <f>IFERROR(VLOOKUP(AA250,TD!$N$55:$O$70,2,0)," ")</f>
        <v>Servicio de atención a emergencias y desastres</v>
      </c>
      <c r="AC250" s="168" t="str">
        <f>CONCATENATE(AA250,"_",AB250)</f>
        <v>004_Servicio de atención a emergencias y desastres</v>
      </c>
      <c r="AD250" s="168" t="str">
        <f>CONCATENATE(Z250," ",AC250)</f>
        <v>09-Servicio de mantenimiento, dotación (HEA´s y equipo menor) y adquisición de vehiculos   especializados para la atención de emergencias. 004_Servicio de atención a emergencias y desastres</v>
      </c>
      <c r="AE250" s="167" t="str">
        <f>CONCATENATE(U250,V250,W250,X250,AA250)</f>
        <v>O23011745032024025509004</v>
      </c>
      <c r="AF250" s="167" t="str">
        <f>IFERROR(VLOOKUP(AD250,TD!$J$70:$K$93,2,0)," ")</f>
        <v>PM/0131/0109/45030040255</v>
      </c>
      <c r="AG250" s="114" t="s">
        <v>385</v>
      </c>
      <c r="AH250" s="166" t="s">
        <v>193</v>
      </c>
      <c r="AI250" s="169" t="str">
        <f>CONCATENATE(PAA[[#This Row],[Id Interno]],"-",PAA[[#This Row],[tipo de Contrato (TH talento humano - B/S bienes y/o servicios)]],"-",S250,"-",T250,"-",PAA[[#This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51" spans="2:35" ht="56" x14ac:dyDescent="0.35">
      <c r="B251" s="23">
        <v>20260212</v>
      </c>
      <c r="C251" s="97" t="s">
        <v>777</v>
      </c>
      <c r="D251" s="23" t="s">
        <v>105</v>
      </c>
      <c r="E251" s="23" t="s">
        <v>363</v>
      </c>
      <c r="F251" s="163" t="s">
        <v>144</v>
      </c>
      <c r="G251" s="164" t="s">
        <v>373</v>
      </c>
      <c r="H251" s="165">
        <v>10</v>
      </c>
      <c r="I251" s="165">
        <v>0</v>
      </c>
      <c r="J251" s="122">
        <v>64000000</v>
      </c>
      <c r="K251" s="88" t="s">
        <v>398</v>
      </c>
      <c r="L251" s="163" t="s">
        <v>157</v>
      </c>
      <c r="M251" s="166" t="s">
        <v>483</v>
      </c>
      <c r="N251" s="23" t="s">
        <v>198</v>
      </c>
      <c r="O251" s="144" t="s">
        <v>887</v>
      </c>
      <c r="P251" s="163" t="s">
        <v>348</v>
      </c>
      <c r="Q251" s="53">
        <v>80111600</v>
      </c>
      <c r="R251" s="166" t="s">
        <v>213</v>
      </c>
      <c r="S251" s="166" t="str">
        <f>MID(PAA[[#This Row],[Meta Proyecto de Inversión]],1,4)</f>
        <v>8173</v>
      </c>
      <c r="T251" s="166" t="str">
        <f>MID(PAA[[#This Row],[Meta Proyecto de Inversión]],6,2)</f>
        <v>4-</v>
      </c>
      <c r="U251" s="167" t="str">
        <f>IFERROR(VLOOKUP(N251,TD!$B$54:$F$58,2,0)," ")</f>
        <v>O230117</v>
      </c>
      <c r="V251" s="167" t="str">
        <f>IFERROR(VLOOKUP(N251,TD!$B$54:$F$58,3,0)," ")</f>
        <v>4503</v>
      </c>
      <c r="W251" s="167">
        <f>IFERROR(VLOOKUP(N251,TD!$B$54:$F$58,4,0)," ")</f>
        <v>20240255</v>
      </c>
      <c r="X251" s="166" t="s">
        <v>176</v>
      </c>
      <c r="Y251" s="167" t="str">
        <f>IFERROR(VLOOKUP(X251,TD!$J$55:$K$68,2,0)," ")</f>
        <v>Servicio de mantenimiento, dotación (HEA´s y equipo menor) y adquisición de vehiculos   especializados para la atención de emergencias.</v>
      </c>
      <c r="Z251" s="168" t="str">
        <f>CONCATENATE(X251,"-",Y251)</f>
        <v>09-Servicio de mantenimiento, dotación (HEA´s y equipo menor) y adquisición de vehiculos   especializados para la atención de emergencias.</v>
      </c>
      <c r="AA251" s="166" t="s">
        <v>221</v>
      </c>
      <c r="AB251" s="167" t="str">
        <f>IFERROR(VLOOKUP(AA251,TD!$N$55:$O$70,2,0)," ")</f>
        <v>Servicio de atención a emergencias y desastres</v>
      </c>
      <c r="AC251" s="168" t="str">
        <f>CONCATENATE(AA251,"_",AB251)</f>
        <v>004_Servicio de atención a emergencias y desastres</v>
      </c>
      <c r="AD251" s="168" t="str">
        <f>CONCATENATE(Z251," ",AC251)</f>
        <v>09-Servicio de mantenimiento, dotación (HEA´s y equipo menor) y adquisición de vehiculos   especializados para la atención de emergencias. 004_Servicio de atención a emergencias y desastres</v>
      </c>
      <c r="AE251" s="167" t="str">
        <f>CONCATENATE(U251,V251,W251,X251,AA251)</f>
        <v>O23011745032024025509004</v>
      </c>
      <c r="AF251" s="167" t="str">
        <f>IFERROR(VLOOKUP(AD251,TD!$J$70:$K$93,2,0)," ")</f>
        <v>PM/0131/0109/45030040255</v>
      </c>
      <c r="AG251" s="114" t="s">
        <v>385</v>
      </c>
      <c r="AH251" s="166" t="s">
        <v>193</v>
      </c>
      <c r="AI251" s="169" t="str">
        <f>CONCATENATE(PAA[[#This Row],[Id Interno]],"-",PAA[[#This Row],[tipo de Contrato (TH talento humano - B/S bienes y/o servicios)]],"-",S251,"-",T251,"-",PAA[[#This Row],[Objeto de la contratación]])</f>
        <v>20260212-TH-8173-4--Prestación de servicios profesionales para la gestión, seguimiento y control  técnico y operativo del proceso de mantenimiento del parque automotor a cargo de la Subdirección Logística - SBLG.</v>
      </c>
    </row>
    <row r="252" spans="2:35" ht="56" customHeight="1" x14ac:dyDescent="0.35">
      <c r="B252" s="23">
        <v>20260213</v>
      </c>
      <c r="C252" s="97" t="s">
        <v>622</v>
      </c>
      <c r="D252" s="23" t="s">
        <v>105</v>
      </c>
      <c r="E252" s="23" t="s">
        <v>363</v>
      </c>
      <c r="F252" s="163" t="s">
        <v>144</v>
      </c>
      <c r="G252" s="164" t="s">
        <v>373</v>
      </c>
      <c r="H252" s="165">
        <v>9</v>
      </c>
      <c r="I252" s="165">
        <v>0</v>
      </c>
      <c r="J252" s="122">
        <v>31500000</v>
      </c>
      <c r="K252" s="88" t="s">
        <v>398</v>
      </c>
      <c r="L252" s="163" t="s">
        <v>157</v>
      </c>
      <c r="M252" s="166" t="s">
        <v>483</v>
      </c>
      <c r="N252" s="23" t="s">
        <v>198</v>
      </c>
      <c r="O252" s="144" t="s">
        <v>887</v>
      </c>
      <c r="P252" s="163" t="s">
        <v>348</v>
      </c>
      <c r="Q252" s="53">
        <v>80111600</v>
      </c>
      <c r="R252" s="166" t="s">
        <v>213</v>
      </c>
      <c r="S252" s="166" t="str">
        <f>MID(PAA[[#This Row],[Meta Proyecto de Inversión]],1,4)</f>
        <v>8173</v>
      </c>
      <c r="T252" s="166" t="str">
        <f>MID(PAA[[#This Row],[Meta Proyecto de Inversión]],6,2)</f>
        <v>4-</v>
      </c>
      <c r="U252" s="167" t="str">
        <f>IFERROR(VLOOKUP(N252,TD!$B$54:$F$58,2,0)," ")</f>
        <v>O230117</v>
      </c>
      <c r="V252" s="167" t="str">
        <f>IFERROR(VLOOKUP(N252,TD!$B$54:$F$58,3,0)," ")</f>
        <v>4503</v>
      </c>
      <c r="W252" s="167">
        <f>IFERROR(VLOOKUP(N252,TD!$B$54:$F$58,4,0)," ")</f>
        <v>20240255</v>
      </c>
      <c r="X252" s="166" t="s">
        <v>176</v>
      </c>
      <c r="Y252" s="167" t="str">
        <f>IFERROR(VLOOKUP(X252,TD!$J$55:$K$68,2,0)," ")</f>
        <v>Servicio de mantenimiento, dotación (HEA´s y equipo menor) y adquisición de vehiculos   especializados para la atención de emergencias.</v>
      </c>
      <c r="Z252" s="168" t="str">
        <f>CONCATENATE(X252,"-",Y252)</f>
        <v>09-Servicio de mantenimiento, dotación (HEA´s y equipo menor) y adquisición de vehiculos   especializados para la atención de emergencias.</v>
      </c>
      <c r="AA252" s="166" t="s">
        <v>221</v>
      </c>
      <c r="AB252" s="167" t="str">
        <f>IFERROR(VLOOKUP(AA252,TD!$N$55:$O$70,2,0)," ")</f>
        <v>Servicio de atención a emergencias y desastres</v>
      </c>
      <c r="AC252" s="168" t="str">
        <f>CONCATENATE(AA252,"_",AB252)</f>
        <v>004_Servicio de atención a emergencias y desastres</v>
      </c>
      <c r="AD252" s="168" t="str">
        <f>CONCATENATE(Z252," ",AC252)</f>
        <v>09-Servicio de mantenimiento, dotación (HEA´s y equipo menor) y adquisición de vehiculos   especializados para la atención de emergencias. 004_Servicio de atención a emergencias y desastres</v>
      </c>
      <c r="AE252" s="167" t="str">
        <f>CONCATENATE(U252,V252,W252,X252,AA252)</f>
        <v>O23011745032024025509004</v>
      </c>
      <c r="AF252" s="167" t="str">
        <f>IFERROR(VLOOKUP(AD252,TD!$J$70:$K$93,2,0)," ")</f>
        <v>PM/0131/0109/45030040255</v>
      </c>
      <c r="AG252" s="114" t="s">
        <v>385</v>
      </c>
      <c r="AH252" s="166" t="s">
        <v>193</v>
      </c>
      <c r="AI252" s="169" t="str">
        <f>CONCATENATE(PAA[[#This Row],[Id Interno]],"-",PAA[[#This Row],[tipo de Contrato (TH talento humano - B/S bienes y/o servicios)]],"-",S252,"-",T252,"-",PAA[[#This Row],[Objeto de la contratación]])</f>
        <v>20260213-TH-8173-4--Prestar servicios profesionales en las actividades administrativas y financieras que requieran los procesos para el desarrollo de las estrategías de la Subdirección Logística- SBLG</v>
      </c>
    </row>
    <row r="253" spans="2:35" ht="56" x14ac:dyDescent="0.35">
      <c r="B253" s="23">
        <v>20260214</v>
      </c>
      <c r="C253" s="97" t="s">
        <v>883</v>
      </c>
      <c r="D253" s="23" t="s">
        <v>105</v>
      </c>
      <c r="E253" s="23" t="s">
        <v>363</v>
      </c>
      <c r="F253" s="163" t="s">
        <v>145</v>
      </c>
      <c r="G253" s="164" t="s">
        <v>373</v>
      </c>
      <c r="H253" s="165">
        <v>5</v>
      </c>
      <c r="I253" s="165">
        <v>0</v>
      </c>
      <c r="J253" s="122">
        <v>16400000</v>
      </c>
      <c r="K253" s="88" t="s">
        <v>398</v>
      </c>
      <c r="L253" s="163" t="s">
        <v>157</v>
      </c>
      <c r="M253" s="166" t="s">
        <v>483</v>
      </c>
      <c r="N253" s="23" t="s">
        <v>198</v>
      </c>
      <c r="O253" s="144" t="s">
        <v>887</v>
      </c>
      <c r="P253" s="163" t="s">
        <v>348</v>
      </c>
      <c r="Q253" s="53">
        <v>80111600</v>
      </c>
      <c r="R253" s="166" t="s">
        <v>213</v>
      </c>
      <c r="S253" s="166" t="str">
        <f>MID(PAA[[#This Row],[Meta Proyecto de Inversión]],1,4)</f>
        <v>8173</v>
      </c>
      <c r="T253" s="166" t="str">
        <f>MID(PAA[[#This Row],[Meta Proyecto de Inversión]],6,2)</f>
        <v>4-</v>
      </c>
      <c r="U253" s="167" t="str">
        <f>IFERROR(VLOOKUP(N253,TD!$B$54:$F$58,2,0)," ")</f>
        <v>O230117</v>
      </c>
      <c r="V253" s="167" t="str">
        <f>IFERROR(VLOOKUP(N253,TD!$B$54:$F$58,3,0)," ")</f>
        <v>4503</v>
      </c>
      <c r="W253" s="167">
        <f>IFERROR(VLOOKUP(N253,TD!$B$54:$F$58,4,0)," ")</f>
        <v>20240255</v>
      </c>
      <c r="X253" s="166" t="s">
        <v>176</v>
      </c>
      <c r="Y253" s="167" t="str">
        <f>IFERROR(VLOOKUP(X253,TD!$J$55:$K$68,2,0)," ")</f>
        <v>Servicio de mantenimiento, dotación (HEA´s y equipo menor) y adquisición de vehiculos   especializados para la atención de emergencias.</v>
      </c>
      <c r="Z253" s="168" t="str">
        <f>CONCATENATE(X253,"-",Y253)</f>
        <v>09-Servicio de mantenimiento, dotación (HEA´s y equipo menor) y adquisición de vehiculos   especializados para la atención de emergencias.</v>
      </c>
      <c r="AA253" s="166" t="s">
        <v>221</v>
      </c>
      <c r="AB253" s="167" t="str">
        <f>IFERROR(VLOOKUP(AA253,TD!$N$55:$O$70,2,0)," ")</f>
        <v>Servicio de atención a emergencias y desastres</v>
      </c>
      <c r="AC253" s="168" t="str">
        <f>CONCATENATE(AA253,"_",AB253)</f>
        <v>004_Servicio de atención a emergencias y desastres</v>
      </c>
      <c r="AD253" s="168" t="str">
        <f>CONCATENATE(Z253," ",AC253)</f>
        <v>09-Servicio de mantenimiento, dotación (HEA´s y equipo menor) y adquisición de vehiculos   especializados para la atención de emergencias. 004_Servicio de atención a emergencias y desastres</v>
      </c>
      <c r="AE253" s="167" t="str">
        <f>CONCATENATE(U253,V253,W253,X253,AA253)</f>
        <v>O23011745032024025509004</v>
      </c>
      <c r="AF253" s="167" t="str">
        <f>IFERROR(VLOOKUP(AD253,TD!$J$70:$K$93,2,0)," ")</f>
        <v>PM/0131/0109/45030040255</v>
      </c>
      <c r="AG253" s="114" t="s">
        <v>385</v>
      </c>
      <c r="AH253" s="166" t="s">
        <v>193</v>
      </c>
      <c r="AI253" s="169" t="str">
        <f>CONCATENATE(PAA[[#This Row],[Id Interno]],"-",PAA[[#This Row],[tipo de Contrato (TH talento humano - B/S bienes y/o servicios)]],"-",S253,"-",T253,"-",PAA[[#This Row],[Objeto de la contratación]])</f>
        <v>20260214-TH-8173-4--Prestar servicios de apoyo a la gestión en el manejo de las herramientas tecnológicas en la recepción diligenciamiento y trámite asociadas a la mesa logística. – SBLG</v>
      </c>
    </row>
    <row r="254" spans="2:35" ht="56" customHeight="1" x14ac:dyDescent="0.35">
      <c r="B254" s="23">
        <v>20260215</v>
      </c>
      <c r="C254" s="97" t="s">
        <v>778</v>
      </c>
      <c r="D254" s="23" t="s">
        <v>105</v>
      </c>
      <c r="E254" s="23" t="s">
        <v>363</v>
      </c>
      <c r="F254" s="163" t="s">
        <v>145</v>
      </c>
      <c r="G254" s="164" t="s">
        <v>373</v>
      </c>
      <c r="H254" s="165">
        <v>8</v>
      </c>
      <c r="I254" s="165">
        <v>0</v>
      </c>
      <c r="J254" s="122">
        <v>28800000</v>
      </c>
      <c r="K254" s="88" t="s">
        <v>398</v>
      </c>
      <c r="L254" s="163" t="s">
        <v>157</v>
      </c>
      <c r="M254" s="166" t="s">
        <v>483</v>
      </c>
      <c r="N254" s="23" t="s">
        <v>198</v>
      </c>
      <c r="O254" s="144" t="s">
        <v>887</v>
      </c>
      <c r="P254" s="163" t="s">
        <v>348</v>
      </c>
      <c r="Q254" s="53">
        <v>80111600</v>
      </c>
      <c r="R254" s="166" t="s">
        <v>213</v>
      </c>
      <c r="S254" s="166" t="str">
        <f>MID(PAA[[#This Row],[Meta Proyecto de Inversión]],1,4)</f>
        <v>8173</v>
      </c>
      <c r="T254" s="166" t="str">
        <f>MID(PAA[[#This Row],[Meta Proyecto de Inversión]],6,2)</f>
        <v>4-</v>
      </c>
      <c r="U254" s="167" t="str">
        <f>IFERROR(VLOOKUP(N254,TD!$B$54:$F$58,2,0)," ")</f>
        <v>O230117</v>
      </c>
      <c r="V254" s="167" t="str">
        <f>IFERROR(VLOOKUP(N254,TD!$B$54:$F$58,3,0)," ")</f>
        <v>4503</v>
      </c>
      <c r="W254" s="167">
        <f>IFERROR(VLOOKUP(N254,TD!$B$54:$F$58,4,0)," ")</f>
        <v>20240255</v>
      </c>
      <c r="X254" s="166" t="s">
        <v>176</v>
      </c>
      <c r="Y254" s="167" t="str">
        <f>IFERROR(VLOOKUP(X254,TD!$J$55:$K$68,2,0)," ")</f>
        <v>Servicio de mantenimiento, dotación (HEA´s y equipo menor) y adquisición de vehiculos   especializados para la atención de emergencias.</v>
      </c>
      <c r="Z254" s="168" t="str">
        <f>CONCATENATE(X254,"-",Y254)</f>
        <v>09-Servicio de mantenimiento, dotación (HEA´s y equipo menor) y adquisición de vehiculos   especializados para la atención de emergencias.</v>
      </c>
      <c r="AA254" s="166" t="s">
        <v>221</v>
      </c>
      <c r="AB254" s="167" t="str">
        <f>IFERROR(VLOOKUP(AA254,TD!$N$55:$O$70,2,0)," ")</f>
        <v>Servicio de atención a emergencias y desastres</v>
      </c>
      <c r="AC254" s="168" t="str">
        <f>CONCATENATE(AA254,"_",AB254)</f>
        <v>004_Servicio de atención a emergencias y desastres</v>
      </c>
      <c r="AD254" s="168" t="str">
        <f>CONCATENATE(Z254," ",AC254)</f>
        <v>09-Servicio de mantenimiento, dotación (HEA´s y equipo menor) y adquisición de vehiculos   especializados para la atención de emergencias. 004_Servicio de atención a emergencias y desastres</v>
      </c>
      <c r="AE254" s="167" t="str">
        <f>CONCATENATE(U254,V254,W254,X254,AA254)</f>
        <v>O23011745032024025509004</v>
      </c>
      <c r="AF254" s="167" t="str">
        <f>IFERROR(VLOOKUP(AD254,TD!$J$70:$K$93,2,0)," ")</f>
        <v>PM/0131/0109/45030040255</v>
      </c>
      <c r="AG254" s="114" t="s">
        <v>385</v>
      </c>
      <c r="AH254" s="166" t="s">
        <v>193</v>
      </c>
      <c r="AI254" s="169" t="str">
        <f>CONCATENATE(PAA[[#This Row],[Id Interno]],"-",PAA[[#This Row],[tipo de Contrato (TH talento humano - B/S bienes y/o servicios)]],"-",S254,"-",T254,"-",PAA[[#This Row],[Objeto de la contratación]])</f>
        <v>20260215-TH-8173-4--Prestar servicios de apoyo técnico en la gestión documental, administrando y diligenciando las bases de datos, y demás documentos para el desarrollo de las estrategias de la Subdirección logística. -SBLG</v>
      </c>
    </row>
    <row r="255" spans="2:35" ht="56" x14ac:dyDescent="0.35">
      <c r="B255" s="23">
        <v>20260216</v>
      </c>
      <c r="C255" s="97" t="s">
        <v>503</v>
      </c>
      <c r="D255" s="23" t="s">
        <v>105</v>
      </c>
      <c r="E255" s="23" t="s">
        <v>363</v>
      </c>
      <c r="F255" s="163" t="s">
        <v>145</v>
      </c>
      <c r="G255" s="164" t="s">
        <v>373</v>
      </c>
      <c r="H255" s="165">
        <v>9</v>
      </c>
      <c r="I255" s="165">
        <v>0</v>
      </c>
      <c r="J255" s="122">
        <v>28800000</v>
      </c>
      <c r="K255" s="88" t="s">
        <v>398</v>
      </c>
      <c r="L255" s="163" t="s">
        <v>157</v>
      </c>
      <c r="M255" s="166" t="s">
        <v>483</v>
      </c>
      <c r="N255" s="23" t="s">
        <v>198</v>
      </c>
      <c r="O255" s="144" t="s">
        <v>887</v>
      </c>
      <c r="P255" s="163" t="s">
        <v>348</v>
      </c>
      <c r="Q255" s="53">
        <v>80111600</v>
      </c>
      <c r="R255" s="166" t="s">
        <v>213</v>
      </c>
      <c r="S255" s="166" t="str">
        <f>MID(PAA[[#This Row],[Meta Proyecto de Inversión]],1,4)</f>
        <v>8173</v>
      </c>
      <c r="T255" s="166" t="str">
        <f>MID(PAA[[#This Row],[Meta Proyecto de Inversión]],6,2)</f>
        <v>4-</v>
      </c>
      <c r="U255" s="167" t="str">
        <f>IFERROR(VLOOKUP(N255,TD!$B$54:$F$58,2,0)," ")</f>
        <v>O230117</v>
      </c>
      <c r="V255" s="167" t="str">
        <f>IFERROR(VLOOKUP(N255,TD!$B$54:$F$58,3,0)," ")</f>
        <v>4503</v>
      </c>
      <c r="W255" s="167">
        <f>IFERROR(VLOOKUP(N255,TD!$B$54:$F$58,4,0)," ")</f>
        <v>20240255</v>
      </c>
      <c r="X255" s="166" t="s">
        <v>176</v>
      </c>
      <c r="Y255" s="167" t="str">
        <f>IFERROR(VLOOKUP(X255,TD!$J$55:$K$68,2,0)," ")</f>
        <v>Servicio de mantenimiento, dotación (HEA´s y equipo menor) y adquisición de vehiculos   especializados para la atención de emergencias.</v>
      </c>
      <c r="Z255" s="168" t="str">
        <f>CONCATENATE(X255,"-",Y255)</f>
        <v>09-Servicio de mantenimiento, dotación (HEA´s y equipo menor) y adquisición de vehiculos   especializados para la atención de emergencias.</v>
      </c>
      <c r="AA255" s="166" t="s">
        <v>221</v>
      </c>
      <c r="AB255" s="167" t="str">
        <f>IFERROR(VLOOKUP(AA255,TD!$N$55:$O$70,2,0)," ")</f>
        <v>Servicio de atención a emergencias y desastres</v>
      </c>
      <c r="AC255" s="168" t="str">
        <f>CONCATENATE(AA255,"_",AB255)</f>
        <v>004_Servicio de atención a emergencias y desastres</v>
      </c>
      <c r="AD255" s="168" t="str">
        <f>CONCATENATE(Z255," ",AC255)</f>
        <v>09-Servicio de mantenimiento, dotación (HEA´s y equipo menor) y adquisición de vehiculos   especializados para la atención de emergencias. 004_Servicio de atención a emergencias y desastres</v>
      </c>
      <c r="AE255" s="167" t="str">
        <f>CONCATENATE(U255,V255,W255,X255,AA255)</f>
        <v>O23011745032024025509004</v>
      </c>
      <c r="AF255" s="167" t="str">
        <f>IFERROR(VLOOKUP(AD255,TD!$J$70:$K$93,2,0)," ")</f>
        <v>PM/0131/0109/45030040255</v>
      </c>
      <c r="AG255" s="114" t="s">
        <v>385</v>
      </c>
      <c r="AH255" s="166" t="s">
        <v>193</v>
      </c>
      <c r="AI255" s="169" t="str">
        <f>CONCATENATE(PAA[[#This Row],[Id Interno]],"-",PAA[[#This Row],[tipo de Contrato (TH talento humano - B/S bienes y/o servicios)]],"-",S255,"-",T255,"-",PAA[[#This Row],[Objeto de la contratación]])</f>
        <v>20260216-TH-8173-4--Prestar servicio de apoyo a la gestión para asistir a la Subdirección Logística en el seguimiento técnico y administrativo de los mantenimientos requeridos en la Subdirección Logística - SBLG</v>
      </c>
    </row>
    <row r="256" spans="2:35" ht="56" x14ac:dyDescent="0.35">
      <c r="B256" s="23">
        <v>20260217</v>
      </c>
      <c r="C256" s="97" t="s">
        <v>779</v>
      </c>
      <c r="D256" s="23" t="s">
        <v>105</v>
      </c>
      <c r="E256" s="23" t="s">
        <v>363</v>
      </c>
      <c r="F256" s="163" t="s">
        <v>144</v>
      </c>
      <c r="G256" s="164" t="s">
        <v>373</v>
      </c>
      <c r="H256" s="165">
        <v>11</v>
      </c>
      <c r="I256" s="165">
        <v>0</v>
      </c>
      <c r="J256" s="122">
        <v>90000000</v>
      </c>
      <c r="K256" s="88" t="s">
        <v>398</v>
      </c>
      <c r="L256" s="163" t="s">
        <v>157</v>
      </c>
      <c r="M256" s="166" t="s">
        <v>483</v>
      </c>
      <c r="N256" s="23" t="s">
        <v>198</v>
      </c>
      <c r="O256" s="144" t="s">
        <v>887</v>
      </c>
      <c r="P256" s="163" t="s">
        <v>348</v>
      </c>
      <c r="Q256" s="53">
        <v>80111600</v>
      </c>
      <c r="R256" s="166" t="s">
        <v>213</v>
      </c>
      <c r="S256" s="166" t="str">
        <f>MID(PAA[[#This Row],[Meta Proyecto de Inversión]],1,4)</f>
        <v>8173</v>
      </c>
      <c r="T256" s="166" t="str">
        <f>MID(PAA[[#This Row],[Meta Proyecto de Inversión]],6,2)</f>
        <v>4-</v>
      </c>
      <c r="U256" s="167" t="str">
        <f>IFERROR(VLOOKUP(N256,TD!$B$54:$F$58,2,0)," ")</f>
        <v>O230117</v>
      </c>
      <c r="V256" s="167" t="str">
        <f>IFERROR(VLOOKUP(N256,TD!$B$54:$F$58,3,0)," ")</f>
        <v>4503</v>
      </c>
      <c r="W256" s="167">
        <f>IFERROR(VLOOKUP(N256,TD!$B$54:$F$58,4,0)," ")</f>
        <v>20240255</v>
      </c>
      <c r="X256" s="166" t="s">
        <v>180</v>
      </c>
      <c r="Y256" s="167" t="str">
        <f>IFERROR(VLOOKUP(X256,TD!$J$55:$K$68,2,0)," ")</f>
        <v>Servicio de apoyo   logístico  en eventos operativos y/o emergencias.</v>
      </c>
      <c r="Z256" s="168" t="str">
        <f>CONCATENATE(X256,"-",Y256)</f>
        <v>12-Servicio de apoyo   logístico  en eventos operativos y/o emergencias.</v>
      </c>
      <c r="AA256" s="166" t="s">
        <v>221</v>
      </c>
      <c r="AB256" s="167" t="str">
        <f>IFERROR(VLOOKUP(AA256,TD!$N$55:$O$70,2,0)," ")</f>
        <v>Servicio de atención a emergencias y desastres</v>
      </c>
      <c r="AC256" s="168" t="str">
        <f>CONCATENATE(AA256,"_",AB256)</f>
        <v>004_Servicio de atención a emergencias y desastres</v>
      </c>
      <c r="AD256" s="168" t="str">
        <f>CONCATENATE(Z256," ",AC256)</f>
        <v>12-Servicio de apoyo   logístico  en eventos operativos y/o emergencias. 004_Servicio de atención a emergencias y desastres</v>
      </c>
      <c r="AE256" s="167" t="str">
        <f>CONCATENATE(U256,V256,W256,X256,AA256)</f>
        <v>O23011745032024025512004</v>
      </c>
      <c r="AF256" s="167" t="str">
        <f>IFERROR(VLOOKUP(AD256,TD!$J$70:$K$93,2,0)," ")</f>
        <v>PM/0131/0112/45030040255</v>
      </c>
      <c r="AG256" s="114" t="s">
        <v>385</v>
      </c>
      <c r="AH256" s="166" t="s">
        <v>193</v>
      </c>
      <c r="AI256" s="169" t="str">
        <f>CONCATENATE(PAA[[#This Row],[Id Interno]],"-",PAA[[#This Row],[tipo de Contrato (TH talento humano - B/S bienes y/o servicios)]],"-",S256,"-",T256,"-",PAA[[#This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57" spans="2:35" ht="56" x14ac:dyDescent="0.35">
      <c r="B257" s="23">
        <v>20260218</v>
      </c>
      <c r="C257" s="97" t="s">
        <v>780</v>
      </c>
      <c r="D257" s="23" t="s">
        <v>105</v>
      </c>
      <c r="E257" s="23" t="s">
        <v>363</v>
      </c>
      <c r="F257" s="163" t="s">
        <v>145</v>
      </c>
      <c r="G257" s="164" t="s">
        <v>373</v>
      </c>
      <c r="H257" s="165">
        <v>4</v>
      </c>
      <c r="I257" s="165">
        <v>0</v>
      </c>
      <c r="J257" s="122">
        <v>13120000</v>
      </c>
      <c r="K257" s="88" t="s">
        <v>398</v>
      </c>
      <c r="L257" s="163" t="s">
        <v>157</v>
      </c>
      <c r="M257" s="166" t="s">
        <v>483</v>
      </c>
      <c r="N257" s="23" t="s">
        <v>198</v>
      </c>
      <c r="O257" s="144" t="s">
        <v>887</v>
      </c>
      <c r="P257" s="163" t="s">
        <v>348</v>
      </c>
      <c r="Q257" s="53">
        <v>80111600</v>
      </c>
      <c r="R257" s="166" t="s">
        <v>213</v>
      </c>
      <c r="S257" s="166" t="str">
        <f>MID(PAA[[#This Row],[Meta Proyecto de Inversión]],1,4)</f>
        <v>8173</v>
      </c>
      <c r="T257" s="166" t="str">
        <f>MID(PAA[[#This Row],[Meta Proyecto de Inversión]],6,2)</f>
        <v>4-</v>
      </c>
      <c r="U257" s="167" t="str">
        <f>IFERROR(VLOOKUP(N257,TD!$B$54:$F$58,2,0)," ")</f>
        <v>O230117</v>
      </c>
      <c r="V257" s="167" t="str">
        <f>IFERROR(VLOOKUP(N257,TD!$B$54:$F$58,3,0)," ")</f>
        <v>4503</v>
      </c>
      <c r="W257" s="167">
        <f>IFERROR(VLOOKUP(N257,TD!$B$54:$F$58,4,0)," ")</f>
        <v>20240255</v>
      </c>
      <c r="X257" s="166" t="s">
        <v>180</v>
      </c>
      <c r="Y257" s="167" t="str">
        <f>IFERROR(VLOOKUP(X257,TD!$J$55:$K$68,2,0)," ")</f>
        <v>Servicio de apoyo   logístico  en eventos operativos y/o emergencias.</v>
      </c>
      <c r="Z257" s="168" t="str">
        <f>CONCATENATE(X257,"-",Y257)</f>
        <v>12-Servicio de apoyo   logístico  en eventos operativos y/o emergencias.</v>
      </c>
      <c r="AA257" s="166" t="s">
        <v>221</v>
      </c>
      <c r="AB257" s="167" t="str">
        <f>IFERROR(VLOOKUP(AA257,TD!$N$55:$O$70,2,0)," ")</f>
        <v>Servicio de atención a emergencias y desastres</v>
      </c>
      <c r="AC257" s="168" t="str">
        <f>CONCATENATE(AA257,"_",AB257)</f>
        <v>004_Servicio de atención a emergencias y desastres</v>
      </c>
      <c r="AD257" s="168" t="str">
        <f>CONCATENATE(Z257," ",AC257)</f>
        <v>12-Servicio de apoyo   logístico  en eventos operativos y/o emergencias. 004_Servicio de atención a emergencias y desastres</v>
      </c>
      <c r="AE257" s="167" t="str">
        <f>CONCATENATE(U257,V257,W257,X257,AA257)</f>
        <v>O23011745032024025512004</v>
      </c>
      <c r="AF257" s="167" t="str">
        <f>IFERROR(VLOOKUP(AD257,TD!$J$70:$K$93,2,0)," ")</f>
        <v>PM/0131/0112/45030040255</v>
      </c>
      <c r="AG257" s="114" t="s">
        <v>385</v>
      </c>
      <c r="AH257" s="166" t="s">
        <v>193</v>
      </c>
      <c r="AI257" s="169" t="str">
        <f>CONCATENATE(PAA[[#This Row],[Id Interno]],"-",PAA[[#This Row],[tipo de Contrato (TH talento humano - B/S bienes y/o servicios)]],"-",S257,"-",T257,"-",PAA[[#This Row],[Objeto de la contratación]])</f>
        <v>20260218-TH-8173-4--Prestar servicios de apoyo a la gestión en actividades administrativas y documentales para el desarrollo de las estrategías de la Subdirección Logística - SBLG</v>
      </c>
    </row>
    <row r="258" spans="2:35" ht="56" x14ac:dyDescent="0.35">
      <c r="B258" s="23">
        <v>20260219</v>
      </c>
      <c r="C258" s="97" t="s">
        <v>781</v>
      </c>
      <c r="D258" s="23" t="s">
        <v>105</v>
      </c>
      <c r="E258" s="23" t="s">
        <v>363</v>
      </c>
      <c r="F258" s="163" t="s">
        <v>144</v>
      </c>
      <c r="G258" s="164" t="s">
        <v>380</v>
      </c>
      <c r="H258" s="165">
        <v>8</v>
      </c>
      <c r="I258" s="165">
        <v>0</v>
      </c>
      <c r="J258" s="122">
        <v>22500000</v>
      </c>
      <c r="K258" s="88" t="s">
        <v>398</v>
      </c>
      <c r="L258" s="163" t="s">
        <v>157</v>
      </c>
      <c r="M258" s="166" t="s">
        <v>483</v>
      </c>
      <c r="N258" s="23" t="s">
        <v>198</v>
      </c>
      <c r="O258" s="144" t="s">
        <v>887</v>
      </c>
      <c r="P258" s="163" t="s">
        <v>348</v>
      </c>
      <c r="Q258" s="53">
        <v>80111600</v>
      </c>
      <c r="R258" s="166" t="s">
        <v>213</v>
      </c>
      <c r="S258" s="166" t="str">
        <f>MID(PAA[[#This Row],[Meta Proyecto de Inversión]],1,4)</f>
        <v>8173</v>
      </c>
      <c r="T258" s="166" t="str">
        <f>MID(PAA[[#This Row],[Meta Proyecto de Inversión]],6,2)</f>
        <v>4-</v>
      </c>
      <c r="U258" s="167" t="str">
        <f>IFERROR(VLOOKUP(N258,TD!$B$54:$F$58,2,0)," ")</f>
        <v>O230117</v>
      </c>
      <c r="V258" s="167" t="str">
        <f>IFERROR(VLOOKUP(N258,TD!$B$54:$F$58,3,0)," ")</f>
        <v>4503</v>
      </c>
      <c r="W258" s="167">
        <f>IFERROR(VLOOKUP(N258,TD!$B$54:$F$58,4,0)," ")</f>
        <v>20240255</v>
      </c>
      <c r="X258" s="166" t="s">
        <v>180</v>
      </c>
      <c r="Y258" s="167" t="str">
        <f>IFERROR(VLOOKUP(X258,TD!$J$55:$K$68,2,0)," ")</f>
        <v>Servicio de apoyo   logístico  en eventos operativos y/o emergencias.</v>
      </c>
      <c r="Z258" s="168" t="str">
        <f>CONCATENATE(X258,"-",Y258)</f>
        <v>12-Servicio de apoyo   logístico  en eventos operativos y/o emergencias.</v>
      </c>
      <c r="AA258" s="166" t="s">
        <v>221</v>
      </c>
      <c r="AB258" s="167" t="str">
        <f>IFERROR(VLOOKUP(AA258,TD!$N$55:$O$70,2,0)," ")</f>
        <v>Servicio de atención a emergencias y desastres</v>
      </c>
      <c r="AC258" s="168" t="str">
        <f>CONCATENATE(AA258,"_",AB258)</f>
        <v>004_Servicio de atención a emergencias y desastres</v>
      </c>
      <c r="AD258" s="168" t="str">
        <f>CONCATENATE(Z258," ",AC258)</f>
        <v>12-Servicio de apoyo   logístico  en eventos operativos y/o emergencias. 004_Servicio de atención a emergencias y desastres</v>
      </c>
      <c r="AE258" s="167" t="str">
        <f>CONCATENATE(U258,V258,W258,X258,AA258)</f>
        <v>O23011745032024025512004</v>
      </c>
      <c r="AF258" s="167" t="str">
        <f>IFERROR(VLOOKUP(AD258,TD!$J$70:$K$93,2,0)," ")</f>
        <v>PM/0131/0112/45030040255</v>
      </c>
      <c r="AG258" s="114" t="s">
        <v>385</v>
      </c>
      <c r="AH258" s="166" t="s">
        <v>193</v>
      </c>
      <c r="AI258" s="169" t="str">
        <f>CONCATENATE(PAA[[#This Row],[Id Interno]],"-",PAA[[#This Row],[tipo de Contrato (TH talento humano - B/S bienes y/o servicios)]],"-",S258,"-",T258,"-",PAA[[#This Row],[Objeto de la contratación]])</f>
        <v>20260219-TH-8173-4--Prestar servicios profesionales de caracter tecnologico apoyando la estructuración, elaboración, manejo y optimización de las herramientas tecnológicas a cargo de la Subdirección Logística – SBLG.</v>
      </c>
    </row>
    <row r="259" spans="2:35" ht="42" x14ac:dyDescent="0.35">
      <c r="B259" s="23">
        <v>20260220</v>
      </c>
      <c r="C259" s="97" t="s">
        <v>782</v>
      </c>
      <c r="D259" s="23" t="s">
        <v>105</v>
      </c>
      <c r="E259" s="23" t="s">
        <v>363</v>
      </c>
      <c r="F259" s="163" t="s">
        <v>145</v>
      </c>
      <c r="G259" s="164" t="s">
        <v>373</v>
      </c>
      <c r="H259" s="165">
        <v>5</v>
      </c>
      <c r="I259" s="165">
        <v>0</v>
      </c>
      <c r="J259" s="122">
        <v>17500000</v>
      </c>
      <c r="K259" s="88" t="s">
        <v>398</v>
      </c>
      <c r="L259" s="163" t="s">
        <v>157</v>
      </c>
      <c r="M259" s="166" t="s">
        <v>483</v>
      </c>
      <c r="N259" s="23" t="s">
        <v>198</v>
      </c>
      <c r="O259" s="144" t="s">
        <v>887</v>
      </c>
      <c r="P259" s="163" t="s">
        <v>348</v>
      </c>
      <c r="Q259" s="53">
        <v>80111600</v>
      </c>
      <c r="R259" s="166" t="s">
        <v>213</v>
      </c>
      <c r="S259" s="166" t="str">
        <f>MID(PAA[[#This Row],[Meta Proyecto de Inversión]],1,4)</f>
        <v>8173</v>
      </c>
      <c r="T259" s="166" t="str">
        <f>MID(PAA[[#This Row],[Meta Proyecto de Inversión]],6,2)</f>
        <v>4-</v>
      </c>
      <c r="U259" s="167" t="str">
        <f>IFERROR(VLOOKUP(N259,TD!$B$54:$F$58,2,0)," ")</f>
        <v>O230117</v>
      </c>
      <c r="V259" s="167" t="str">
        <f>IFERROR(VLOOKUP(N259,TD!$B$54:$F$58,3,0)," ")</f>
        <v>4503</v>
      </c>
      <c r="W259" s="167">
        <f>IFERROR(VLOOKUP(N259,TD!$B$54:$F$58,4,0)," ")</f>
        <v>20240255</v>
      </c>
      <c r="X259" s="166" t="s">
        <v>180</v>
      </c>
      <c r="Y259" s="167" t="str">
        <f>IFERROR(VLOOKUP(X259,TD!$J$55:$K$68,2,0)," ")</f>
        <v>Servicio de apoyo   logístico  en eventos operativos y/o emergencias.</v>
      </c>
      <c r="Z259" s="168" t="str">
        <f>CONCATENATE(X259,"-",Y259)</f>
        <v>12-Servicio de apoyo   logístico  en eventos operativos y/o emergencias.</v>
      </c>
      <c r="AA259" s="166" t="s">
        <v>221</v>
      </c>
      <c r="AB259" s="167" t="str">
        <f>IFERROR(VLOOKUP(AA259,TD!$N$55:$O$70,2,0)," ")</f>
        <v>Servicio de atención a emergencias y desastres</v>
      </c>
      <c r="AC259" s="168" t="str">
        <f>CONCATENATE(AA259,"_",AB259)</f>
        <v>004_Servicio de atención a emergencias y desastres</v>
      </c>
      <c r="AD259" s="168" t="str">
        <f>CONCATENATE(Z259," ",AC259)</f>
        <v>12-Servicio de apoyo   logístico  en eventos operativos y/o emergencias. 004_Servicio de atención a emergencias y desastres</v>
      </c>
      <c r="AE259" s="167" t="str">
        <f>CONCATENATE(U259,V259,W259,X259,AA259)</f>
        <v>O23011745032024025512004</v>
      </c>
      <c r="AF259" s="167" t="str">
        <f>IFERROR(VLOOKUP(AD259,TD!$J$70:$K$93,2,0)," ")</f>
        <v>PM/0131/0112/45030040255</v>
      </c>
      <c r="AG259" s="114" t="s">
        <v>385</v>
      </c>
      <c r="AH259" s="166" t="s">
        <v>193</v>
      </c>
      <c r="AI259" s="169" t="str">
        <f>CONCATENATE(PAA[[#This Row],[Id Interno]],"-",PAA[[#This Row],[tipo de Contrato (TH talento humano - B/S bienes y/o servicios)]],"-",S259,"-",T259,"-",PAA[[#This Row],[Objeto de la contratación]])</f>
        <v>20260220-TH-8173-4--Prestar servicios como conductor para apoyar en la gestiónes tecnicas y operativas para la Subdirección Logistica- SBLG.</v>
      </c>
    </row>
    <row r="260" spans="2:35" ht="70" customHeight="1" x14ac:dyDescent="0.35">
      <c r="B260" s="23">
        <v>20260221</v>
      </c>
      <c r="C260" s="97" t="s">
        <v>782</v>
      </c>
      <c r="D260" s="23" t="s">
        <v>105</v>
      </c>
      <c r="E260" s="23" t="s">
        <v>363</v>
      </c>
      <c r="F260" s="163" t="s">
        <v>145</v>
      </c>
      <c r="G260" s="164" t="s">
        <v>373</v>
      </c>
      <c r="H260" s="165">
        <v>8</v>
      </c>
      <c r="I260" s="165">
        <v>0</v>
      </c>
      <c r="J260" s="122">
        <v>24500000</v>
      </c>
      <c r="K260" s="88" t="s">
        <v>398</v>
      </c>
      <c r="L260" s="163" t="s">
        <v>157</v>
      </c>
      <c r="M260" s="166" t="s">
        <v>483</v>
      </c>
      <c r="N260" s="23" t="s">
        <v>198</v>
      </c>
      <c r="O260" s="144" t="s">
        <v>887</v>
      </c>
      <c r="P260" s="163" t="s">
        <v>348</v>
      </c>
      <c r="Q260" s="53">
        <v>80111600</v>
      </c>
      <c r="R260" s="166" t="s">
        <v>213</v>
      </c>
      <c r="S260" s="166" t="str">
        <f>MID(PAA[[#This Row],[Meta Proyecto de Inversión]],1,4)</f>
        <v>8173</v>
      </c>
      <c r="T260" s="166" t="str">
        <f>MID(PAA[[#This Row],[Meta Proyecto de Inversión]],6,2)</f>
        <v>4-</v>
      </c>
      <c r="U260" s="167" t="str">
        <f>IFERROR(VLOOKUP(N260,TD!$B$54:$F$58,2,0)," ")</f>
        <v>O230117</v>
      </c>
      <c r="V260" s="167" t="str">
        <f>IFERROR(VLOOKUP(N260,TD!$B$54:$F$58,3,0)," ")</f>
        <v>4503</v>
      </c>
      <c r="W260" s="167">
        <f>IFERROR(VLOOKUP(N260,TD!$B$54:$F$58,4,0)," ")</f>
        <v>20240255</v>
      </c>
      <c r="X260" s="166" t="s">
        <v>180</v>
      </c>
      <c r="Y260" s="167" t="str">
        <f>IFERROR(VLOOKUP(X260,TD!$J$55:$K$68,2,0)," ")</f>
        <v>Servicio de apoyo   logístico  en eventos operativos y/o emergencias.</v>
      </c>
      <c r="Z260" s="168" t="str">
        <f>CONCATENATE(X260,"-",Y260)</f>
        <v>12-Servicio de apoyo   logístico  en eventos operativos y/o emergencias.</v>
      </c>
      <c r="AA260" s="166" t="s">
        <v>221</v>
      </c>
      <c r="AB260" s="167" t="str">
        <f>IFERROR(VLOOKUP(AA260,TD!$N$55:$O$70,2,0)," ")</f>
        <v>Servicio de atención a emergencias y desastres</v>
      </c>
      <c r="AC260" s="168" t="str">
        <f>CONCATENATE(AA260,"_",AB260)</f>
        <v>004_Servicio de atención a emergencias y desastres</v>
      </c>
      <c r="AD260" s="168" t="str">
        <f>CONCATENATE(Z260," ",AC260)</f>
        <v>12-Servicio de apoyo   logístico  en eventos operativos y/o emergencias. 004_Servicio de atención a emergencias y desastres</v>
      </c>
      <c r="AE260" s="167" t="str">
        <f>CONCATENATE(U260,V260,W260,X260,AA260)</f>
        <v>O23011745032024025512004</v>
      </c>
      <c r="AF260" s="167" t="str">
        <f>IFERROR(VLOOKUP(AD260,TD!$J$70:$K$93,2,0)," ")</f>
        <v>PM/0131/0112/45030040255</v>
      </c>
      <c r="AG260" s="114" t="s">
        <v>385</v>
      </c>
      <c r="AH260" s="166" t="s">
        <v>193</v>
      </c>
      <c r="AI260" s="169" t="str">
        <f>CONCATENATE(PAA[[#This Row],[Id Interno]],"-",PAA[[#This Row],[tipo de Contrato (TH talento humano - B/S bienes y/o servicios)]],"-",S260,"-",T260,"-",PAA[[#This Row],[Objeto de la contratación]])</f>
        <v>20260221-TH-8173-4--Prestar servicios como conductor para apoyar en la gestiónes tecnicas y operativas para la Subdirección Logistica- SBLG.</v>
      </c>
    </row>
    <row r="261" spans="2:35" ht="56" customHeight="1" x14ac:dyDescent="0.35">
      <c r="B261" s="23">
        <v>20260222</v>
      </c>
      <c r="C261" s="97" t="s">
        <v>783</v>
      </c>
      <c r="D261" s="23" t="s">
        <v>105</v>
      </c>
      <c r="E261" s="23" t="s">
        <v>363</v>
      </c>
      <c r="F261" s="163" t="s">
        <v>144</v>
      </c>
      <c r="G261" s="164" t="s">
        <v>373</v>
      </c>
      <c r="H261" s="165">
        <v>10</v>
      </c>
      <c r="I261" s="165">
        <v>0</v>
      </c>
      <c r="J261" s="122">
        <v>49500000</v>
      </c>
      <c r="K261" s="88" t="s">
        <v>398</v>
      </c>
      <c r="L261" s="163" t="s">
        <v>157</v>
      </c>
      <c r="M261" s="166" t="s">
        <v>483</v>
      </c>
      <c r="N261" s="23" t="s">
        <v>198</v>
      </c>
      <c r="O261" s="144" t="s">
        <v>887</v>
      </c>
      <c r="P261" s="163" t="s">
        <v>348</v>
      </c>
      <c r="Q261" s="53">
        <v>80111600</v>
      </c>
      <c r="R261" s="166" t="s">
        <v>213</v>
      </c>
      <c r="S261" s="166" t="str">
        <f>MID(PAA[[#This Row],[Meta Proyecto de Inversión]],1,4)</f>
        <v>8173</v>
      </c>
      <c r="T261" s="166" t="str">
        <f>MID(PAA[[#This Row],[Meta Proyecto de Inversión]],6,2)</f>
        <v>4-</v>
      </c>
      <c r="U261" s="167" t="str">
        <f>IFERROR(VLOOKUP(N261,TD!$B$54:$F$58,2,0)," ")</f>
        <v>O230117</v>
      </c>
      <c r="V261" s="167" t="str">
        <f>IFERROR(VLOOKUP(N261,TD!$B$54:$F$58,3,0)," ")</f>
        <v>4503</v>
      </c>
      <c r="W261" s="167">
        <f>IFERROR(VLOOKUP(N261,TD!$B$54:$F$58,4,0)," ")</f>
        <v>20240255</v>
      </c>
      <c r="X261" s="166" t="s">
        <v>180</v>
      </c>
      <c r="Y261" s="167" t="str">
        <f>IFERROR(VLOOKUP(X261,TD!$J$55:$K$68,2,0)," ")</f>
        <v>Servicio de apoyo   logístico  en eventos operativos y/o emergencias.</v>
      </c>
      <c r="Z261" s="168" t="str">
        <f>CONCATENATE(X261,"-",Y261)</f>
        <v>12-Servicio de apoyo   logístico  en eventos operativos y/o emergencias.</v>
      </c>
      <c r="AA261" s="166" t="s">
        <v>221</v>
      </c>
      <c r="AB261" s="167" t="str">
        <f>IFERROR(VLOOKUP(AA261,TD!$N$55:$O$70,2,0)," ")</f>
        <v>Servicio de atención a emergencias y desastres</v>
      </c>
      <c r="AC261" s="168" t="str">
        <f>CONCATENATE(AA261,"_",AB261)</f>
        <v>004_Servicio de atención a emergencias y desastres</v>
      </c>
      <c r="AD261" s="168" t="str">
        <f>CONCATENATE(Z261," ",AC261)</f>
        <v>12-Servicio de apoyo   logístico  en eventos operativos y/o emergencias. 004_Servicio de atención a emergencias y desastres</v>
      </c>
      <c r="AE261" s="167" t="str">
        <f>CONCATENATE(U261,V261,W261,X261,AA261)</f>
        <v>O23011745032024025512004</v>
      </c>
      <c r="AF261" s="167" t="str">
        <f>IFERROR(VLOOKUP(AD261,TD!$J$70:$K$93,2,0)," ")</f>
        <v>PM/0131/0112/45030040255</v>
      </c>
      <c r="AG261" s="114" t="s">
        <v>385</v>
      </c>
      <c r="AH261" s="166" t="s">
        <v>193</v>
      </c>
      <c r="AI261" s="169" t="str">
        <f>CONCATENATE(PAA[[#This Row],[Id Interno]],"-",PAA[[#This Row],[tipo de Contrato (TH talento humano - B/S bienes y/o servicios)]],"-",S261,"-",T261,"-",PAA[[#This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62" spans="2:35" ht="42" x14ac:dyDescent="0.35">
      <c r="B262" s="23">
        <v>20260223</v>
      </c>
      <c r="C262" s="97" t="s">
        <v>784</v>
      </c>
      <c r="D262" s="23" t="s">
        <v>105</v>
      </c>
      <c r="E262" s="23" t="s">
        <v>363</v>
      </c>
      <c r="F262" s="163" t="s">
        <v>144</v>
      </c>
      <c r="G262" s="164" t="s">
        <v>373</v>
      </c>
      <c r="H262" s="165">
        <v>6</v>
      </c>
      <c r="I262" s="165">
        <v>0</v>
      </c>
      <c r="J262" s="122">
        <v>33000000</v>
      </c>
      <c r="K262" s="88" t="s">
        <v>398</v>
      </c>
      <c r="L262" s="163" t="s">
        <v>157</v>
      </c>
      <c r="M262" s="166" t="s">
        <v>483</v>
      </c>
      <c r="N262" s="23" t="s">
        <v>198</v>
      </c>
      <c r="O262" s="144" t="s">
        <v>887</v>
      </c>
      <c r="P262" s="163" t="s">
        <v>348</v>
      </c>
      <c r="Q262" s="53">
        <v>80111600</v>
      </c>
      <c r="R262" s="166" t="s">
        <v>213</v>
      </c>
      <c r="S262" s="166" t="str">
        <f>MID(PAA[[#This Row],[Meta Proyecto de Inversión]],1,4)</f>
        <v>8173</v>
      </c>
      <c r="T262" s="166" t="str">
        <f>MID(PAA[[#This Row],[Meta Proyecto de Inversión]],6,2)</f>
        <v>4-</v>
      </c>
      <c r="U262" s="167" t="str">
        <f>IFERROR(VLOOKUP(N262,TD!$B$54:$F$58,2,0)," ")</f>
        <v>O230117</v>
      </c>
      <c r="V262" s="167" t="str">
        <f>IFERROR(VLOOKUP(N262,TD!$B$54:$F$58,3,0)," ")</f>
        <v>4503</v>
      </c>
      <c r="W262" s="167">
        <f>IFERROR(VLOOKUP(N262,TD!$B$54:$F$58,4,0)," ")</f>
        <v>20240255</v>
      </c>
      <c r="X262" s="166" t="s">
        <v>180</v>
      </c>
      <c r="Y262" s="167" t="str">
        <f>IFERROR(VLOOKUP(X262,TD!$J$55:$K$68,2,0)," ")</f>
        <v>Servicio de apoyo   logístico  en eventos operativos y/o emergencias.</v>
      </c>
      <c r="Z262" s="168" t="str">
        <f>CONCATENATE(X262,"-",Y262)</f>
        <v>12-Servicio de apoyo   logístico  en eventos operativos y/o emergencias.</v>
      </c>
      <c r="AA262" s="166" t="s">
        <v>221</v>
      </c>
      <c r="AB262" s="167" t="str">
        <f>IFERROR(VLOOKUP(AA262,TD!$N$55:$O$70,2,0)," ")</f>
        <v>Servicio de atención a emergencias y desastres</v>
      </c>
      <c r="AC262" s="168" t="str">
        <f>CONCATENATE(AA262,"_",AB262)</f>
        <v>004_Servicio de atención a emergencias y desastres</v>
      </c>
      <c r="AD262" s="168" t="str">
        <f>CONCATENATE(Z262," ",AC262)</f>
        <v>12-Servicio de apoyo   logístico  en eventos operativos y/o emergencias. 004_Servicio de atención a emergencias y desastres</v>
      </c>
      <c r="AE262" s="167" t="str">
        <f>CONCATENATE(U262,V262,W262,X262,AA262)</f>
        <v>O23011745032024025512004</v>
      </c>
      <c r="AF262" s="167" t="str">
        <f>IFERROR(VLOOKUP(AD262,TD!$J$70:$K$93,2,0)," ")</f>
        <v>PM/0131/0112/45030040255</v>
      </c>
      <c r="AG262" s="114" t="s">
        <v>385</v>
      </c>
      <c r="AH262" s="166" t="s">
        <v>193</v>
      </c>
      <c r="AI262" s="169" t="str">
        <f>CONCATENATE(PAA[[#This Row],[Id Interno]],"-",PAA[[#This Row],[tipo de Contrato (TH talento humano - B/S bienes y/o servicios)]],"-",S262,"-",T262,"-",PAA[[#This Row],[Objeto de la contratación]])</f>
        <v>20260223-TH-8173-4--Prestar servicios profesionales para apoyar en las actividades administrativas y tecnicas de los elementos e inventario a cargo Subdirección Logistica  – SBLG.</v>
      </c>
    </row>
    <row r="263" spans="2:35" ht="70" x14ac:dyDescent="0.35">
      <c r="B263" s="23">
        <v>20260224</v>
      </c>
      <c r="C263" s="97" t="s">
        <v>623</v>
      </c>
      <c r="D263" s="23" t="s">
        <v>105</v>
      </c>
      <c r="E263" s="23" t="s">
        <v>363</v>
      </c>
      <c r="F263" s="163" t="s">
        <v>144</v>
      </c>
      <c r="G263" s="164" t="s">
        <v>373</v>
      </c>
      <c r="H263" s="165">
        <v>9</v>
      </c>
      <c r="I263" s="165">
        <v>0</v>
      </c>
      <c r="J263" s="122">
        <v>40000000</v>
      </c>
      <c r="K263" s="88" t="s">
        <v>398</v>
      </c>
      <c r="L263" s="163" t="s">
        <v>157</v>
      </c>
      <c r="M263" s="166" t="s">
        <v>483</v>
      </c>
      <c r="N263" s="23" t="s">
        <v>198</v>
      </c>
      <c r="O263" s="144" t="s">
        <v>887</v>
      </c>
      <c r="P263" s="163" t="s">
        <v>348</v>
      </c>
      <c r="Q263" s="53">
        <v>80111600</v>
      </c>
      <c r="R263" s="166" t="s">
        <v>213</v>
      </c>
      <c r="S263" s="166" t="str">
        <f>MID(PAA[[#This Row],[Meta Proyecto de Inversión]],1,4)</f>
        <v>8173</v>
      </c>
      <c r="T263" s="166" t="str">
        <f>MID(PAA[[#This Row],[Meta Proyecto de Inversión]],6,2)</f>
        <v>4-</v>
      </c>
      <c r="U263" s="167" t="str">
        <f>IFERROR(VLOOKUP(N263,TD!$B$54:$F$58,2,0)," ")</f>
        <v>O230117</v>
      </c>
      <c r="V263" s="167" t="str">
        <f>IFERROR(VLOOKUP(N263,TD!$B$54:$F$58,3,0)," ")</f>
        <v>4503</v>
      </c>
      <c r="W263" s="167">
        <f>IFERROR(VLOOKUP(N263,TD!$B$54:$F$58,4,0)," ")</f>
        <v>20240255</v>
      </c>
      <c r="X263" s="166" t="s">
        <v>180</v>
      </c>
      <c r="Y263" s="167" t="str">
        <f>IFERROR(VLOOKUP(X263,TD!$J$55:$K$68,2,0)," ")</f>
        <v>Servicio de apoyo   logístico  en eventos operativos y/o emergencias.</v>
      </c>
      <c r="Z263" s="168" t="str">
        <f>CONCATENATE(X263,"-",Y263)</f>
        <v>12-Servicio de apoyo   logístico  en eventos operativos y/o emergencias.</v>
      </c>
      <c r="AA263" s="166" t="s">
        <v>221</v>
      </c>
      <c r="AB263" s="167" t="str">
        <f>IFERROR(VLOOKUP(AA263,TD!$N$55:$O$70,2,0)," ")</f>
        <v>Servicio de atención a emergencias y desastres</v>
      </c>
      <c r="AC263" s="168" t="str">
        <f>CONCATENATE(AA263,"_",AB263)</f>
        <v>004_Servicio de atención a emergencias y desastres</v>
      </c>
      <c r="AD263" s="168" t="str">
        <f>CONCATENATE(Z263," ",AC263)</f>
        <v>12-Servicio de apoyo   logístico  en eventos operativos y/o emergencias. 004_Servicio de atención a emergencias y desastres</v>
      </c>
      <c r="AE263" s="167" t="str">
        <f>CONCATENATE(U263,V263,W263,X263,AA263)</f>
        <v>O23011745032024025512004</v>
      </c>
      <c r="AF263" s="167" t="str">
        <f>IFERROR(VLOOKUP(AD263,TD!$J$70:$K$93,2,0)," ")</f>
        <v>PM/0131/0112/45030040255</v>
      </c>
      <c r="AG263" s="114" t="s">
        <v>385</v>
      </c>
      <c r="AH263" s="166" t="s">
        <v>193</v>
      </c>
      <c r="AI263" s="169" t="str">
        <f>CONCATENATE(PAA[[#This Row],[Id Interno]],"-",PAA[[#This Row],[tipo de Contrato (TH talento humano - B/S bienes y/o servicios)]],"-",S263,"-",T263,"-",PAA[[#This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64" spans="2:35" ht="42" x14ac:dyDescent="0.35">
      <c r="B264" s="23">
        <v>20260225</v>
      </c>
      <c r="C264" s="97" t="s">
        <v>624</v>
      </c>
      <c r="D264" s="23" t="s">
        <v>105</v>
      </c>
      <c r="E264" s="23" t="s">
        <v>363</v>
      </c>
      <c r="F264" s="163" t="s">
        <v>145</v>
      </c>
      <c r="G264" s="164" t="s">
        <v>373</v>
      </c>
      <c r="H264" s="165">
        <v>9</v>
      </c>
      <c r="I264" s="165">
        <v>0</v>
      </c>
      <c r="J264" s="122">
        <v>22995000</v>
      </c>
      <c r="K264" s="88" t="s">
        <v>398</v>
      </c>
      <c r="L264" s="163" t="s">
        <v>157</v>
      </c>
      <c r="M264" s="166" t="s">
        <v>483</v>
      </c>
      <c r="N264" s="23" t="s">
        <v>198</v>
      </c>
      <c r="O264" s="144" t="s">
        <v>887</v>
      </c>
      <c r="P264" s="163" t="s">
        <v>348</v>
      </c>
      <c r="Q264" s="53">
        <v>80111600</v>
      </c>
      <c r="R264" s="166" t="s">
        <v>213</v>
      </c>
      <c r="S264" s="166" t="str">
        <f>MID(PAA[[#This Row],[Meta Proyecto de Inversión]],1,4)</f>
        <v>8173</v>
      </c>
      <c r="T264" s="166" t="str">
        <f>MID(PAA[[#This Row],[Meta Proyecto de Inversión]],6,2)</f>
        <v>4-</v>
      </c>
      <c r="U264" s="167" t="str">
        <f>IFERROR(VLOOKUP(N264,TD!$B$54:$F$58,2,0)," ")</f>
        <v>O230117</v>
      </c>
      <c r="V264" s="167" t="str">
        <f>IFERROR(VLOOKUP(N264,TD!$B$54:$F$58,3,0)," ")</f>
        <v>4503</v>
      </c>
      <c r="W264" s="167">
        <f>IFERROR(VLOOKUP(N264,TD!$B$54:$F$58,4,0)," ")</f>
        <v>20240255</v>
      </c>
      <c r="X264" s="166" t="s">
        <v>180</v>
      </c>
      <c r="Y264" s="167" t="str">
        <f>IFERROR(VLOOKUP(X264,TD!$J$55:$K$68,2,0)," ")</f>
        <v>Servicio de apoyo   logístico  en eventos operativos y/o emergencias.</v>
      </c>
      <c r="Z264" s="168" t="str">
        <f>CONCATENATE(X264,"-",Y264)</f>
        <v>12-Servicio de apoyo   logístico  en eventos operativos y/o emergencias.</v>
      </c>
      <c r="AA264" s="166" t="s">
        <v>221</v>
      </c>
      <c r="AB264" s="167" t="str">
        <f>IFERROR(VLOOKUP(AA264,TD!$N$55:$O$70,2,0)," ")</f>
        <v>Servicio de atención a emergencias y desastres</v>
      </c>
      <c r="AC264" s="168" t="str">
        <f>CONCATENATE(AA264,"_",AB264)</f>
        <v>004_Servicio de atención a emergencias y desastres</v>
      </c>
      <c r="AD264" s="168" t="str">
        <f>CONCATENATE(Z264," ",AC264)</f>
        <v>12-Servicio de apoyo   logístico  en eventos operativos y/o emergencias. 004_Servicio de atención a emergencias y desastres</v>
      </c>
      <c r="AE264" s="167" t="str">
        <f>CONCATENATE(U264,V264,W264,X264,AA264)</f>
        <v>O23011745032024025512004</v>
      </c>
      <c r="AF264" s="167" t="str">
        <f>IFERROR(VLOOKUP(AD264,TD!$J$70:$K$93,2,0)," ")</f>
        <v>PM/0131/0112/45030040255</v>
      </c>
      <c r="AG264" s="114" t="s">
        <v>385</v>
      </c>
      <c r="AH264" s="166" t="s">
        <v>193</v>
      </c>
      <c r="AI264" s="169" t="str">
        <f>CONCATENATE(PAA[[#This Row],[Id Interno]],"-",PAA[[#This Row],[tipo de Contrato (TH talento humano - B/S bienes y/o servicios)]],"-",S264,"-",T264,"-",PAA[[#This Row],[Objeto de la contratación]])</f>
        <v>20260225-TH-8173-4--Prestar servicios de apoyo a la gestión en las actividades de soporte operacional para el desarrollo de las estrategías de la Subdirección Logística. SBLG</v>
      </c>
    </row>
    <row r="265" spans="2:35" ht="84" customHeight="1" x14ac:dyDescent="0.35">
      <c r="B265" s="23">
        <v>20260226</v>
      </c>
      <c r="C265" s="97" t="s">
        <v>624</v>
      </c>
      <c r="D265" s="23" t="s">
        <v>105</v>
      </c>
      <c r="E265" s="23" t="s">
        <v>363</v>
      </c>
      <c r="F265" s="163" t="s">
        <v>145</v>
      </c>
      <c r="G265" s="164" t="s">
        <v>373</v>
      </c>
      <c r="H265" s="165">
        <v>10</v>
      </c>
      <c r="I265" s="165">
        <v>0</v>
      </c>
      <c r="J265" s="122">
        <v>22960000</v>
      </c>
      <c r="K265" s="88" t="s">
        <v>398</v>
      </c>
      <c r="L265" s="163" t="s">
        <v>157</v>
      </c>
      <c r="M265" s="166" t="s">
        <v>483</v>
      </c>
      <c r="N265" s="23" t="s">
        <v>198</v>
      </c>
      <c r="O265" s="144" t="s">
        <v>887</v>
      </c>
      <c r="P265" s="163" t="s">
        <v>348</v>
      </c>
      <c r="Q265" s="53">
        <v>80111600</v>
      </c>
      <c r="R265" s="166" t="s">
        <v>213</v>
      </c>
      <c r="S265" s="166" t="str">
        <f>MID(PAA[[#This Row],[Meta Proyecto de Inversión]],1,4)</f>
        <v>8173</v>
      </c>
      <c r="T265" s="166" t="str">
        <f>MID(PAA[[#This Row],[Meta Proyecto de Inversión]],6,2)</f>
        <v>4-</v>
      </c>
      <c r="U265" s="167" t="str">
        <f>IFERROR(VLOOKUP(N265,TD!$B$54:$F$58,2,0)," ")</f>
        <v>O230117</v>
      </c>
      <c r="V265" s="167" t="str">
        <f>IFERROR(VLOOKUP(N265,TD!$B$54:$F$58,3,0)," ")</f>
        <v>4503</v>
      </c>
      <c r="W265" s="167">
        <f>IFERROR(VLOOKUP(N265,TD!$B$54:$F$58,4,0)," ")</f>
        <v>20240255</v>
      </c>
      <c r="X265" s="166" t="s">
        <v>180</v>
      </c>
      <c r="Y265" s="167" t="str">
        <f>IFERROR(VLOOKUP(X265,TD!$J$55:$K$68,2,0)," ")</f>
        <v>Servicio de apoyo   logístico  en eventos operativos y/o emergencias.</v>
      </c>
      <c r="Z265" s="168" t="str">
        <f>CONCATENATE(X265,"-",Y265)</f>
        <v>12-Servicio de apoyo   logístico  en eventos operativos y/o emergencias.</v>
      </c>
      <c r="AA265" s="166" t="s">
        <v>221</v>
      </c>
      <c r="AB265" s="167" t="str">
        <f>IFERROR(VLOOKUP(AA265,TD!$N$55:$O$70,2,0)," ")</f>
        <v>Servicio de atención a emergencias y desastres</v>
      </c>
      <c r="AC265" s="168" t="str">
        <f>CONCATENATE(AA265,"_",AB265)</f>
        <v>004_Servicio de atención a emergencias y desastres</v>
      </c>
      <c r="AD265" s="168" t="str">
        <f>CONCATENATE(Z265," ",AC265)</f>
        <v>12-Servicio de apoyo   logístico  en eventos operativos y/o emergencias. 004_Servicio de atención a emergencias y desastres</v>
      </c>
      <c r="AE265" s="167" t="str">
        <f>CONCATENATE(U265,V265,W265,X265,AA265)</f>
        <v>O23011745032024025512004</v>
      </c>
      <c r="AF265" s="167" t="str">
        <f>IFERROR(VLOOKUP(AD265,TD!$J$70:$K$93,2,0)," ")</f>
        <v>PM/0131/0112/45030040255</v>
      </c>
      <c r="AG265" s="114" t="s">
        <v>385</v>
      </c>
      <c r="AH265" s="166" t="s">
        <v>193</v>
      </c>
      <c r="AI265" s="169" t="str">
        <f>CONCATENATE(PAA[[#This Row],[Id Interno]],"-",PAA[[#This Row],[tipo de Contrato (TH talento humano - B/S bienes y/o servicios)]],"-",S265,"-",T265,"-",PAA[[#This Row],[Objeto de la contratación]])</f>
        <v>20260226-TH-8173-4--Prestar servicios de apoyo a la gestión en las actividades de soporte operacional para el desarrollo de las estrategías de la Subdirección Logística. SBLG</v>
      </c>
    </row>
    <row r="266" spans="2:35" ht="42" x14ac:dyDescent="0.35">
      <c r="B266" s="23">
        <v>20260227</v>
      </c>
      <c r="C266" s="97" t="s">
        <v>624</v>
      </c>
      <c r="D266" s="23" t="s">
        <v>105</v>
      </c>
      <c r="E266" s="23" t="s">
        <v>363</v>
      </c>
      <c r="F266" s="163" t="s">
        <v>145</v>
      </c>
      <c r="G266" s="164" t="s">
        <v>373</v>
      </c>
      <c r="H266" s="165">
        <v>10</v>
      </c>
      <c r="I266" s="165">
        <v>0</v>
      </c>
      <c r="J266" s="122">
        <v>19710000</v>
      </c>
      <c r="K266" s="88" t="s">
        <v>398</v>
      </c>
      <c r="L266" s="163" t="s">
        <v>157</v>
      </c>
      <c r="M266" s="166" t="s">
        <v>483</v>
      </c>
      <c r="N266" s="23" t="s">
        <v>198</v>
      </c>
      <c r="O266" s="144" t="s">
        <v>887</v>
      </c>
      <c r="P266" s="163" t="s">
        <v>348</v>
      </c>
      <c r="Q266" s="53">
        <v>80111600</v>
      </c>
      <c r="R266" s="166" t="s">
        <v>213</v>
      </c>
      <c r="S266" s="166" t="str">
        <f>MID(PAA[[#This Row],[Meta Proyecto de Inversión]],1,4)</f>
        <v>8173</v>
      </c>
      <c r="T266" s="166" t="str">
        <f>MID(PAA[[#This Row],[Meta Proyecto de Inversión]],6,2)</f>
        <v>4-</v>
      </c>
      <c r="U266" s="167" t="str">
        <f>IFERROR(VLOOKUP(N266,TD!$B$54:$F$58,2,0)," ")</f>
        <v>O230117</v>
      </c>
      <c r="V266" s="167" t="str">
        <f>IFERROR(VLOOKUP(N266,TD!$B$54:$F$58,3,0)," ")</f>
        <v>4503</v>
      </c>
      <c r="W266" s="167">
        <f>IFERROR(VLOOKUP(N266,TD!$B$54:$F$58,4,0)," ")</f>
        <v>20240255</v>
      </c>
      <c r="X266" s="166" t="s">
        <v>180</v>
      </c>
      <c r="Y266" s="167" t="str">
        <f>IFERROR(VLOOKUP(X266,TD!$J$55:$K$68,2,0)," ")</f>
        <v>Servicio de apoyo   logístico  en eventos operativos y/o emergencias.</v>
      </c>
      <c r="Z266" s="168" t="str">
        <f>CONCATENATE(X266,"-",Y266)</f>
        <v>12-Servicio de apoyo   logístico  en eventos operativos y/o emergencias.</v>
      </c>
      <c r="AA266" s="166" t="s">
        <v>221</v>
      </c>
      <c r="AB266" s="167" t="str">
        <f>IFERROR(VLOOKUP(AA266,TD!$N$55:$O$70,2,0)," ")</f>
        <v>Servicio de atención a emergencias y desastres</v>
      </c>
      <c r="AC266" s="168" t="str">
        <f>CONCATENATE(AA266,"_",AB266)</f>
        <v>004_Servicio de atención a emergencias y desastres</v>
      </c>
      <c r="AD266" s="168" t="str">
        <f>CONCATENATE(Z266," ",AC266)</f>
        <v>12-Servicio de apoyo   logístico  en eventos operativos y/o emergencias. 004_Servicio de atención a emergencias y desastres</v>
      </c>
      <c r="AE266" s="167" t="str">
        <f>CONCATENATE(U266,V266,W266,X266,AA266)</f>
        <v>O23011745032024025512004</v>
      </c>
      <c r="AF266" s="167" t="str">
        <f>IFERROR(VLOOKUP(AD266,TD!$J$70:$K$93,2,0)," ")</f>
        <v>PM/0131/0112/45030040255</v>
      </c>
      <c r="AG266" s="114" t="s">
        <v>385</v>
      </c>
      <c r="AH266" s="166" t="s">
        <v>193</v>
      </c>
      <c r="AI266" s="169" t="str">
        <f>CONCATENATE(PAA[[#This Row],[Id Interno]],"-",PAA[[#This Row],[tipo de Contrato (TH talento humano - B/S bienes y/o servicios)]],"-",S266,"-",T266,"-",PAA[[#This Row],[Objeto de la contratación]])</f>
        <v>20260227-TH-8173-4--Prestar servicios de apoyo a la gestión en las actividades de soporte operacional para el desarrollo de las estrategías de la Subdirección Logística. SBLG</v>
      </c>
    </row>
    <row r="267" spans="2:35" ht="42" x14ac:dyDescent="0.35">
      <c r="B267" s="23">
        <v>20260228</v>
      </c>
      <c r="C267" s="97" t="s">
        <v>624</v>
      </c>
      <c r="D267" s="23" t="s">
        <v>105</v>
      </c>
      <c r="E267" s="23" t="s">
        <v>363</v>
      </c>
      <c r="F267" s="163" t="s">
        <v>145</v>
      </c>
      <c r="G267" s="164" t="s">
        <v>373</v>
      </c>
      <c r="H267" s="165">
        <v>10</v>
      </c>
      <c r="I267" s="165">
        <v>0</v>
      </c>
      <c r="J267" s="122">
        <v>19680000</v>
      </c>
      <c r="K267" s="88" t="s">
        <v>398</v>
      </c>
      <c r="L267" s="163" t="s">
        <v>157</v>
      </c>
      <c r="M267" s="166" t="s">
        <v>483</v>
      </c>
      <c r="N267" s="23" t="s">
        <v>198</v>
      </c>
      <c r="O267" s="144" t="s">
        <v>887</v>
      </c>
      <c r="P267" s="163" t="s">
        <v>348</v>
      </c>
      <c r="Q267" s="53">
        <v>80111600</v>
      </c>
      <c r="R267" s="166" t="s">
        <v>213</v>
      </c>
      <c r="S267" s="166" t="str">
        <f>MID(PAA[[#This Row],[Meta Proyecto de Inversión]],1,4)</f>
        <v>8173</v>
      </c>
      <c r="T267" s="166" t="str">
        <f>MID(PAA[[#This Row],[Meta Proyecto de Inversión]],6,2)</f>
        <v>4-</v>
      </c>
      <c r="U267" s="167" t="str">
        <f>IFERROR(VLOOKUP(N267,TD!$B$54:$F$58,2,0)," ")</f>
        <v>O230117</v>
      </c>
      <c r="V267" s="167" t="str">
        <f>IFERROR(VLOOKUP(N267,TD!$B$54:$F$58,3,0)," ")</f>
        <v>4503</v>
      </c>
      <c r="W267" s="167">
        <f>IFERROR(VLOOKUP(N267,TD!$B$54:$F$58,4,0)," ")</f>
        <v>20240255</v>
      </c>
      <c r="X267" s="166" t="s">
        <v>180</v>
      </c>
      <c r="Y267" s="167" t="str">
        <f>IFERROR(VLOOKUP(X267,TD!$J$55:$K$68,2,0)," ")</f>
        <v>Servicio de apoyo   logístico  en eventos operativos y/o emergencias.</v>
      </c>
      <c r="Z267" s="168" t="str">
        <f>CONCATENATE(X267,"-",Y267)</f>
        <v>12-Servicio de apoyo   logístico  en eventos operativos y/o emergencias.</v>
      </c>
      <c r="AA267" s="166" t="s">
        <v>221</v>
      </c>
      <c r="AB267" s="167" t="str">
        <f>IFERROR(VLOOKUP(AA267,TD!$N$55:$O$70,2,0)," ")</f>
        <v>Servicio de atención a emergencias y desastres</v>
      </c>
      <c r="AC267" s="168" t="str">
        <f>CONCATENATE(AA267,"_",AB267)</f>
        <v>004_Servicio de atención a emergencias y desastres</v>
      </c>
      <c r="AD267" s="168" t="str">
        <f>CONCATENATE(Z267," ",AC267)</f>
        <v>12-Servicio de apoyo   logístico  en eventos operativos y/o emergencias. 004_Servicio de atención a emergencias y desastres</v>
      </c>
      <c r="AE267" s="167" t="str">
        <f>CONCATENATE(U267,V267,W267,X267,AA267)</f>
        <v>O23011745032024025512004</v>
      </c>
      <c r="AF267" s="167" t="str">
        <f>IFERROR(VLOOKUP(AD267,TD!$J$70:$K$93,2,0)," ")</f>
        <v>PM/0131/0112/45030040255</v>
      </c>
      <c r="AG267" s="114" t="s">
        <v>385</v>
      </c>
      <c r="AH267" s="166" t="s">
        <v>193</v>
      </c>
      <c r="AI267" s="169" t="str">
        <f>CONCATENATE(PAA[[#This Row],[Id Interno]],"-",PAA[[#This Row],[tipo de Contrato (TH talento humano - B/S bienes y/o servicios)]],"-",S267,"-",T267,"-",PAA[[#This Row],[Objeto de la contratación]])</f>
        <v>20260228-TH-8173-4--Prestar servicios de apoyo a la gestión en las actividades de soporte operacional para el desarrollo de las estrategías de la Subdirección Logística. SBLG</v>
      </c>
    </row>
    <row r="268" spans="2:35" ht="42" x14ac:dyDescent="0.35">
      <c r="B268" s="23">
        <v>20260229</v>
      </c>
      <c r="C268" s="97" t="s">
        <v>780</v>
      </c>
      <c r="D268" s="23" t="s">
        <v>105</v>
      </c>
      <c r="E268" s="23" t="s">
        <v>363</v>
      </c>
      <c r="F268" s="163" t="s">
        <v>145</v>
      </c>
      <c r="G268" s="164" t="s">
        <v>373</v>
      </c>
      <c r="H268" s="165">
        <v>8</v>
      </c>
      <c r="I268" s="165">
        <v>0</v>
      </c>
      <c r="J268" s="122">
        <v>20000000</v>
      </c>
      <c r="K268" s="88" t="s">
        <v>398</v>
      </c>
      <c r="L268" s="163" t="s">
        <v>157</v>
      </c>
      <c r="M268" s="166" t="s">
        <v>483</v>
      </c>
      <c r="N268" s="23" t="s">
        <v>198</v>
      </c>
      <c r="O268" s="144" t="s">
        <v>887</v>
      </c>
      <c r="P268" s="163" t="s">
        <v>348</v>
      </c>
      <c r="Q268" s="53">
        <v>80111600</v>
      </c>
      <c r="R268" s="166" t="s">
        <v>213</v>
      </c>
      <c r="S268" s="166" t="str">
        <f>MID(PAA[[#This Row],[Meta Proyecto de Inversión]],1,4)</f>
        <v>8173</v>
      </c>
      <c r="T268" s="166" t="str">
        <f>MID(PAA[[#This Row],[Meta Proyecto de Inversión]],6,2)</f>
        <v>4-</v>
      </c>
      <c r="U268" s="167" t="str">
        <f>IFERROR(VLOOKUP(N268,TD!$B$54:$F$58,2,0)," ")</f>
        <v>O230117</v>
      </c>
      <c r="V268" s="167" t="str">
        <f>IFERROR(VLOOKUP(N268,TD!$B$54:$F$58,3,0)," ")</f>
        <v>4503</v>
      </c>
      <c r="W268" s="167">
        <f>IFERROR(VLOOKUP(N268,TD!$B$54:$F$58,4,0)," ")</f>
        <v>20240255</v>
      </c>
      <c r="X268" s="166" t="s">
        <v>180</v>
      </c>
      <c r="Y268" s="167" t="str">
        <f>IFERROR(VLOOKUP(X268,TD!$J$55:$K$68,2,0)," ")</f>
        <v>Servicio de apoyo   logístico  en eventos operativos y/o emergencias.</v>
      </c>
      <c r="Z268" s="168" t="str">
        <f>CONCATENATE(X268,"-",Y268)</f>
        <v>12-Servicio de apoyo   logístico  en eventos operativos y/o emergencias.</v>
      </c>
      <c r="AA268" s="166" t="s">
        <v>221</v>
      </c>
      <c r="AB268" s="167" t="str">
        <f>IFERROR(VLOOKUP(AA268,TD!$N$55:$O$70,2,0)," ")</f>
        <v>Servicio de atención a emergencias y desastres</v>
      </c>
      <c r="AC268" s="168" t="str">
        <f>CONCATENATE(AA268,"_",AB268)</f>
        <v>004_Servicio de atención a emergencias y desastres</v>
      </c>
      <c r="AD268" s="168" t="str">
        <f>CONCATENATE(Z268," ",AC268)</f>
        <v>12-Servicio de apoyo   logístico  en eventos operativos y/o emergencias. 004_Servicio de atención a emergencias y desastres</v>
      </c>
      <c r="AE268" s="167" t="str">
        <f>CONCATENATE(U268,V268,W268,X268,AA268)</f>
        <v>O23011745032024025512004</v>
      </c>
      <c r="AF268" s="167" t="str">
        <f>IFERROR(VLOOKUP(AD268,TD!$J$70:$K$93,2,0)," ")</f>
        <v>PM/0131/0112/45030040255</v>
      </c>
      <c r="AG268" s="114" t="s">
        <v>385</v>
      </c>
      <c r="AH268" s="166" t="s">
        <v>193</v>
      </c>
      <c r="AI268" s="169" t="str">
        <f>CONCATENATE(PAA[[#This Row],[Id Interno]],"-",PAA[[#This Row],[tipo de Contrato (TH talento humano - B/S bienes y/o servicios)]],"-",S268,"-",T268,"-",PAA[[#This Row],[Objeto de la contratación]])</f>
        <v>20260229-TH-8173-4--Prestar servicios de apoyo a la gestión en actividades administrativas y documentales para el desarrollo de las estrategías de la Subdirección Logística - SBLG</v>
      </c>
    </row>
    <row r="269" spans="2:35" ht="42" x14ac:dyDescent="0.35">
      <c r="B269" s="23">
        <v>20260230</v>
      </c>
      <c r="C269" s="97" t="s">
        <v>785</v>
      </c>
      <c r="D269" s="23" t="s">
        <v>105</v>
      </c>
      <c r="E269" s="23" t="s">
        <v>363</v>
      </c>
      <c r="F269" s="163" t="s">
        <v>144</v>
      </c>
      <c r="G269" s="164" t="s">
        <v>373</v>
      </c>
      <c r="H269" s="165">
        <v>9</v>
      </c>
      <c r="I269" s="165">
        <v>0</v>
      </c>
      <c r="J269" s="122">
        <v>81000000</v>
      </c>
      <c r="K269" s="88" t="s">
        <v>398</v>
      </c>
      <c r="L269" s="163" t="s">
        <v>157</v>
      </c>
      <c r="M269" s="166" t="s">
        <v>483</v>
      </c>
      <c r="N269" s="23" t="s">
        <v>198</v>
      </c>
      <c r="O269" s="144" t="s">
        <v>887</v>
      </c>
      <c r="P269" s="163" t="s">
        <v>348</v>
      </c>
      <c r="Q269" s="53">
        <v>80111600</v>
      </c>
      <c r="R269" s="166" t="s">
        <v>213</v>
      </c>
      <c r="S269" s="166" t="str">
        <f>MID(PAA[[#This Row],[Meta Proyecto de Inversión]],1,4)</f>
        <v>8173</v>
      </c>
      <c r="T269" s="166" t="str">
        <f>MID(PAA[[#This Row],[Meta Proyecto de Inversión]],6,2)</f>
        <v>4-</v>
      </c>
      <c r="U269" s="167" t="str">
        <f>IFERROR(VLOOKUP(N269,TD!$B$54:$F$58,2,0)," ")</f>
        <v>O230117</v>
      </c>
      <c r="V269" s="167" t="str">
        <f>IFERROR(VLOOKUP(N269,TD!$B$54:$F$58,3,0)," ")</f>
        <v>4503</v>
      </c>
      <c r="W269" s="167">
        <f>IFERROR(VLOOKUP(N269,TD!$B$54:$F$58,4,0)," ")</f>
        <v>20240255</v>
      </c>
      <c r="X269" s="166" t="s">
        <v>180</v>
      </c>
      <c r="Y269" s="167" t="str">
        <f>IFERROR(VLOOKUP(X269,TD!$J$55:$K$68,2,0)," ")</f>
        <v>Servicio de apoyo   logístico  en eventos operativos y/o emergencias.</v>
      </c>
      <c r="Z269" s="168" t="str">
        <f>CONCATENATE(X269,"-",Y269)</f>
        <v>12-Servicio de apoyo   logístico  en eventos operativos y/o emergencias.</v>
      </c>
      <c r="AA269" s="166" t="s">
        <v>221</v>
      </c>
      <c r="AB269" s="167" t="str">
        <f>IFERROR(VLOOKUP(AA269,TD!$N$55:$O$70,2,0)," ")</f>
        <v>Servicio de atención a emergencias y desastres</v>
      </c>
      <c r="AC269" s="168" t="str">
        <f>CONCATENATE(AA269,"_",AB269)</f>
        <v>004_Servicio de atención a emergencias y desastres</v>
      </c>
      <c r="AD269" s="168" t="str">
        <f>CONCATENATE(Z269," ",AC269)</f>
        <v>12-Servicio de apoyo   logístico  en eventos operativos y/o emergencias. 004_Servicio de atención a emergencias y desastres</v>
      </c>
      <c r="AE269" s="167" t="str">
        <f>CONCATENATE(U269,V269,W269,X269,AA269)</f>
        <v>O23011745032024025512004</v>
      </c>
      <c r="AF269" s="167" t="str">
        <f>IFERROR(VLOOKUP(AD269,TD!$J$70:$K$93,2,0)," ")</f>
        <v>PM/0131/0112/45030040255</v>
      </c>
      <c r="AG269" s="114" t="s">
        <v>385</v>
      </c>
      <c r="AH269" s="166" t="s">
        <v>193</v>
      </c>
      <c r="AI269" s="169" t="str">
        <f>CONCATENATE(PAA[[#This Row],[Id Interno]],"-",PAA[[#This Row],[tipo de Contrato (TH talento humano - B/S bienes y/o servicios)]],"-",S269,"-",T269,"-",PAA[[#This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70" spans="2:35" ht="42" x14ac:dyDescent="0.35">
      <c r="B270" s="23">
        <v>20260231</v>
      </c>
      <c r="C270" s="97" t="s">
        <v>786</v>
      </c>
      <c r="D270" s="23" t="s">
        <v>105</v>
      </c>
      <c r="E270" s="23" t="s">
        <v>363</v>
      </c>
      <c r="F270" s="163" t="s">
        <v>145</v>
      </c>
      <c r="G270" s="164" t="s">
        <v>373</v>
      </c>
      <c r="H270" s="165">
        <v>6</v>
      </c>
      <c r="I270" s="165">
        <v>0</v>
      </c>
      <c r="J270" s="122">
        <v>21600000</v>
      </c>
      <c r="K270" s="88" t="s">
        <v>398</v>
      </c>
      <c r="L270" s="163" t="s">
        <v>157</v>
      </c>
      <c r="M270" s="166" t="s">
        <v>483</v>
      </c>
      <c r="N270" s="23" t="s">
        <v>198</v>
      </c>
      <c r="O270" s="144" t="s">
        <v>887</v>
      </c>
      <c r="P270" s="163" t="s">
        <v>348</v>
      </c>
      <c r="Q270" s="53">
        <v>80111600</v>
      </c>
      <c r="R270" s="166" t="s">
        <v>213</v>
      </c>
      <c r="S270" s="166" t="str">
        <f>MID(PAA[[#This Row],[Meta Proyecto de Inversión]],1,4)</f>
        <v>8173</v>
      </c>
      <c r="T270" s="166" t="str">
        <f>MID(PAA[[#This Row],[Meta Proyecto de Inversión]],6,2)</f>
        <v>4-</v>
      </c>
      <c r="U270" s="167" t="str">
        <f>IFERROR(VLOOKUP(N270,TD!$B$54:$F$58,2,0)," ")</f>
        <v>O230117</v>
      </c>
      <c r="V270" s="167" t="str">
        <f>IFERROR(VLOOKUP(N270,TD!$B$54:$F$58,3,0)," ")</f>
        <v>4503</v>
      </c>
      <c r="W270" s="167">
        <f>IFERROR(VLOOKUP(N270,TD!$B$54:$F$58,4,0)," ")</f>
        <v>20240255</v>
      </c>
      <c r="X270" s="166" t="s">
        <v>180</v>
      </c>
      <c r="Y270" s="167" t="str">
        <f>IFERROR(VLOOKUP(X270,TD!$J$55:$K$68,2,0)," ")</f>
        <v>Servicio de apoyo   logístico  en eventos operativos y/o emergencias.</v>
      </c>
      <c r="Z270" s="168" t="str">
        <f>CONCATENATE(X270,"-",Y270)</f>
        <v>12-Servicio de apoyo   logístico  en eventos operativos y/o emergencias.</v>
      </c>
      <c r="AA270" s="166" t="s">
        <v>221</v>
      </c>
      <c r="AB270" s="167" t="str">
        <f>IFERROR(VLOOKUP(AA270,TD!$N$55:$O$70,2,0)," ")</f>
        <v>Servicio de atención a emergencias y desastres</v>
      </c>
      <c r="AC270" s="168" t="str">
        <f>CONCATENATE(AA270,"_",AB270)</f>
        <v>004_Servicio de atención a emergencias y desastres</v>
      </c>
      <c r="AD270" s="168" t="str">
        <f>CONCATENATE(Z270," ",AC270)</f>
        <v>12-Servicio de apoyo   logístico  en eventos operativos y/o emergencias. 004_Servicio de atención a emergencias y desastres</v>
      </c>
      <c r="AE270" s="167" t="str">
        <f>CONCATENATE(U270,V270,W270,X270,AA270)</f>
        <v>O23011745032024025512004</v>
      </c>
      <c r="AF270" s="167" t="str">
        <f>IFERROR(VLOOKUP(AD270,TD!$J$70:$K$93,2,0)," ")</f>
        <v>PM/0131/0112/45030040255</v>
      </c>
      <c r="AG270" s="114" t="s">
        <v>385</v>
      </c>
      <c r="AH270" s="166" t="s">
        <v>193</v>
      </c>
      <c r="AI270" s="169" t="str">
        <f>CONCATENATE(PAA[[#This Row],[Id Interno]],"-",PAA[[#This Row],[tipo de Contrato (TH talento humano - B/S bienes y/o servicios)]],"-",S270,"-",T270,"-",PAA[[#This Row],[Objeto de la contratación]])</f>
        <v>20260231-TH-8173-4--Prestar servicios de apoyo a la gestión para el seguimiento y control de los suministros y consumibles  necesarios para la oportuna disponibilidad en la atención de emergencias -SBLG</v>
      </c>
    </row>
    <row r="271" spans="2:35" ht="70" x14ac:dyDescent="0.35">
      <c r="B271" s="23">
        <v>20260232</v>
      </c>
      <c r="C271" s="97" t="s">
        <v>787</v>
      </c>
      <c r="D271" s="23" t="s">
        <v>105</v>
      </c>
      <c r="E271" s="23" t="s">
        <v>363</v>
      </c>
      <c r="F271" s="163" t="s">
        <v>144</v>
      </c>
      <c r="G271" s="164" t="s">
        <v>373</v>
      </c>
      <c r="H271" s="165">
        <v>6</v>
      </c>
      <c r="I271" s="165">
        <v>0</v>
      </c>
      <c r="J271" s="122">
        <v>33000000</v>
      </c>
      <c r="K271" s="88" t="s">
        <v>398</v>
      </c>
      <c r="L271" s="163" t="s">
        <v>157</v>
      </c>
      <c r="M271" s="166" t="s">
        <v>483</v>
      </c>
      <c r="N271" s="23" t="s">
        <v>198</v>
      </c>
      <c r="O271" s="144" t="s">
        <v>887</v>
      </c>
      <c r="P271" s="163" t="s">
        <v>348</v>
      </c>
      <c r="Q271" s="53">
        <v>80111600</v>
      </c>
      <c r="R271" s="166" t="s">
        <v>213</v>
      </c>
      <c r="S271" s="166" t="str">
        <f>MID(PAA[[#This Row],[Meta Proyecto de Inversión]],1,4)</f>
        <v>8173</v>
      </c>
      <c r="T271" s="166" t="str">
        <f>MID(PAA[[#This Row],[Meta Proyecto de Inversión]],6,2)</f>
        <v>4-</v>
      </c>
      <c r="U271" s="167" t="str">
        <f>IFERROR(VLOOKUP(N271,TD!$B$54:$F$58,2,0)," ")</f>
        <v>O230117</v>
      </c>
      <c r="V271" s="167" t="str">
        <f>IFERROR(VLOOKUP(N271,TD!$B$54:$F$58,3,0)," ")</f>
        <v>4503</v>
      </c>
      <c r="W271" s="167">
        <f>IFERROR(VLOOKUP(N271,TD!$B$54:$F$58,4,0)," ")</f>
        <v>20240255</v>
      </c>
      <c r="X271" s="166" t="s">
        <v>180</v>
      </c>
      <c r="Y271" s="167" t="str">
        <f>IFERROR(VLOOKUP(X271,TD!$J$55:$K$68,2,0)," ")</f>
        <v>Servicio de apoyo   logístico  en eventos operativos y/o emergencias.</v>
      </c>
      <c r="Z271" s="168" t="str">
        <f>CONCATENATE(X271,"-",Y271)</f>
        <v>12-Servicio de apoyo   logístico  en eventos operativos y/o emergencias.</v>
      </c>
      <c r="AA271" s="166" t="s">
        <v>221</v>
      </c>
      <c r="AB271" s="167" t="str">
        <f>IFERROR(VLOOKUP(AA271,TD!$N$55:$O$70,2,0)," ")</f>
        <v>Servicio de atención a emergencias y desastres</v>
      </c>
      <c r="AC271" s="168" t="str">
        <f>CONCATENATE(AA271,"_",AB271)</f>
        <v>004_Servicio de atención a emergencias y desastres</v>
      </c>
      <c r="AD271" s="168" t="str">
        <f>CONCATENATE(Z271," ",AC271)</f>
        <v>12-Servicio de apoyo   logístico  en eventos operativos y/o emergencias. 004_Servicio de atención a emergencias y desastres</v>
      </c>
      <c r="AE271" s="167" t="str">
        <f>CONCATENATE(U271,V271,W271,X271,AA271)</f>
        <v>O23011745032024025512004</v>
      </c>
      <c r="AF271" s="167" t="str">
        <f>IFERROR(VLOOKUP(AD271,TD!$J$70:$K$93,2,0)," ")</f>
        <v>PM/0131/0112/45030040255</v>
      </c>
      <c r="AG271" s="114" t="s">
        <v>385</v>
      </c>
      <c r="AH271" s="166" t="s">
        <v>193</v>
      </c>
      <c r="AI271" s="169" t="str">
        <f>CONCATENATE(PAA[[#This Row],[Id Interno]],"-",PAA[[#This Row],[tipo de Contrato (TH talento humano - B/S bienes y/o servicios)]],"-",S271,"-",T271,"-",PAA[[#This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72" spans="2:35" ht="42" x14ac:dyDescent="0.35">
      <c r="B272" s="23">
        <v>20260233</v>
      </c>
      <c r="C272" s="97" t="s">
        <v>788</v>
      </c>
      <c r="D272" s="23" t="s">
        <v>105</v>
      </c>
      <c r="E272" s="23" t="s">
        <v>363</v>
      </c>
      <c r="F272" s="163" t="s">
        <v>144</v>
      </c>
      <c r="G272" s="164" t="s">
        <v>373</v>
      </c>
      <c r="H272" s="165">
        <v>8</v>
      </c>
      <c r="I272" s="165">
        <v>0</v>
      </c>
      <c r="J272" s="122">
        <v>52000000</v>
      </c>
      <c r="K272" s="88" t="s">
        <v>398</v>
      </c>
      <c r="L272" s="163" t="s">
        <v>157</v>
      </c>
      <c r="M272" s="166" t="s">
        <v>483</v>
      </c>
      <c r="N272" s="23" t="s">
        <v>198</v>
      </c>
      <c r="O272" s="144" t="s">
        <v>887</v>
      </c>
      <c r="P272" s="163" t="s">
        <v>348</v>
      </c>
      <c r="Q272" s="53">
        <v>80111600</v>
      </c>
      <c r="R272" s="166" t="s">
        <v>213</v>
      </c>
      <c r="S272" s="166" t="str">
        <f>MID(PAA[[#This Row],[Meta Proyecto de Inversión]],1,4)</f>
        <v>8173</v>
      </c>
      <c r="T272" s="166" t="str">
        <f>MID(PAA[[#This Row],[Meta Proyecto de Inversión]],6,2)</f>
        <v>4-</v>
      </c>
      <c r="U272" s="167" t="str">
        <f>IFERROR(VLOOKUP(N272,TD!$B$54:$F$58,2,0)," ")</f>
        <v>O230117</v>
      </c>
      <c r="V272" s="167" t="str">
        <f>IFERROR(VLOOKUP(N272,TD!$B$54:$F$58,3,0)," ")</f>
        <v>4503</v>
      </c>
      <c r="W272" s="167">
        <f>IFERROR(VLOOKUP(N272,TD!$B$54:$F$58,4,0)," ")</f>
        <v>20240255</v>
      </c>
      <c r="X272" s="166" t="s">
        <v>180</v>
      </c>
      <c r="Y272" s="167" t="str">
        <f>IFERROR(VLOOKUP(X272,TD!$J$55:$K$68,2,0)," ")</f>
        <v>Servicio de apoyo   logístico  en eventos operativos y/o emergencias.</v>
      </c>
      <c r="Z272" s="168" t="str">
        <f>CONCATENATE(X272,"-",Y272)</f>
        <v>12-Servicio de apoyo   logístico  en eventos operativos y/o emergencias.</v>
      </c>
      <c r="AA272" s="166" t="s">
        <v>221</v>
      </c>
      <c r="AB272" s="167" t="str">
        <f>IFERROR(VLOOKUP(AA272,TD!$N$55:$O$70,2,0)," ")</f>
        <v>Servicio de atención a emergencias y desastres</v>
      </c>
      <c r="AC272" s="168" t="str">
        <f>CONCATENATE(AA272,"_",AB272)</f>
        <v>004_Servicio de atención a emergencias y desastres</v>
      </c>
      <c r="AD272" s="168" t="str">
        <f>CONCATENATE(Z272," ",AC272)</f>
        <v>12-Servicio de apoyo   logístico  en eventos operativos y/o emergencias. 004_Servicio de atención a emergencias y desastres</v>
      </c>
      <c r="AE272" s="167" t="str">
        <f>CONCATENATE(U272,V272,W272,X272,AA272)</f>
        <v>O23011745032024025512004</v>
      </c>
      <c r="AF272" s="167" t="str">
        <f>IFERROR(VLOOKUP(AD272,TD!$J$70:$K$93,2,0)," ")</f>
        <v>PM/0131/0112/45030040255</v>
      </c>
      <c r="AG272" s="114" t="s">
        <v>385</v>
      </c>
      <c r="AH272" s="166" t="s">
        <v>193</v>
      </c>
      <c r="AI272" s="169" t="str">
        <f>CONCATENATE(PAA[[#This Row],[Id Interno]],"-",PAA[[#This Row],[tipo de Contrato (TH talento humano - B/S bienes y/o servicios)]],"-",S272,"-",T272,"-",PAA[[#This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73" spans="2:35" ht="56" x14ac:dyDescent="0.35">
      <c r="B273" s="23">
        <v>20260234</v>
      </c>
      <c r="C273" s="97" t="s">
        <v>625</v>
      </c>
      <c r="D273" s="23" t="s">
        <v>105</v>
      </c>
      <c r="E273" s="23" t="s">
        <v>363</v>
      </c>
      <c r="F273" s="163" t="s">
        <v>144</v>
      </c>
      <c r="G273" s="164" t="s">
        <v>373</v>
      </c>
      <c r="H273" s="165">
        <v>10</v>
      </c>
      <c r="I273" s="165">
        <v>0</v>
      </c>
      <c r="J273" s="122">
        <v>90000000</v>
      </c>
      <c r="K273" s="88" t="s">
        <v>398</v>
      </c>
      <c r="L273" s="163" t="s">
        <v>157</v>
      </c>
      <c r="M273" s="166" t="s">
        <v>483</v>
      </c>
      <c r="N273" s="23" t="s">
        <v>198</v>
      </c>
      <c r="O273" s="144" t="s">
        <v>887</v>
      </c>
      <c r="P273" s="163" t="s">
        <v>348</v>
      </c>
      <c r="Q273" s="53">
        <v>80111600</v>
      </c>
      <c r="R273" s="166" t="s">
        <v>213</v>
      </c>
      <c r="S273" s="166" t="str">
        <f>MID(PAA[[#This Row],[Meta Proyecto de Inversión]],1,4)</f>
        <v>8173</v>
      </c>
      <c r="T273" s="166" t="str">
        <f>MID(PAA[[#This Row],[Meta Proyecto de Inversión]],6,2)</f>
        <v>4-</v>
      </c>
      <c r="U273" s="167" t="str">
        <f>IFERROR(VLOOKUP(N273,TD!$B$54:$F$58,2,0)," ")</f>
        <v>O230117</v>
      </c>
      <c r="V273" s="167" t="str">
        <f>IFERROR(VLOOKUP(N273,TD!$B$54:$F$58,3,0)," ")</f>
        <v>4503</v>
      </c>
      <c r="W273" s="167">
        <f>IFERROR(VLOOKUP(N273,TD!$B$54:$F$58,4,0)," ")</f>
        <v>20240255</v>
      </c>
      <c r="X273" s="166" t="s">
        <v>176</v>
      </c>
      <c r="Y273" s="167" t="str">
        <f>IFERROR(VLOOKUP(X273,TD!$J$55:$K$68,2,0)," ")</f>
        <v>Servicio de mantenimiento, dotación (HEA´s y equipo menor) y adquisición de vehiculos   especializados para la atención de emergencias.</v>
      </c>
      <c r="Z273" s="168" t="str">
        <f>CONCATENATE(X273,"-",Y273)</f>
        <v>09-Servicio de mantenimiento, dotación (HEA´s y equipo menor) y adquisición de vehiculos   especializados para la atención de emergencias.</v>
      </c>
      <c r="AA273" s="166" t="s">
        <v>221</v>
      </c>
      <c r="AB273" s="167" t="str">
        <f>IFERROR(VLOOKUP(AA273,TD!$N$55:$O$70,2,0)," ")</f>
        <v>Servicio de atención a emergencias y desastres</v>
      </c>
      <c r="AC273" s="168" t="str">
        <f>CONCATENATE(AA273,"_",AB273)</f>
        <v>004_Servicio de atención a emergencias y desastres</v>
      </c>
      <c r="AD273" s="168" t="str">
        <f>CONCATENATE(Z273," ",AC273)</f>
        <v>09-Servicio de mantenimiento, dotación (HEA´s y equipo menor) y adquisición de vehiculos   especializados para la atención de emergencias. 004_Servicio de atención a emergencias y desastres</v>
      </c>
      <c r="AE273" s="167" t="str">
        <f>CONCATENATE(U273,V273,W273,X273,AA273)</f>
        <v>O23011745032024025509004</v>
      </c>
      <c r="AF273" s="167" t="str">
        <f>IFERROR(VLOOKUP(AD273,TD!$J$70:$K$93,2,0)," ")</f>
        <v>PM/0131/0109/45030040255</v>
      </c>
      <c r="AG273" s="114" t="s">
        <v>385</v>
      </c>
      <c r="AH273" s="166" t="s">
        <v>193</v>
      </c>
      <c r="AI273" s="169" t="str">
        <f>CONCATENATE(PAA[[#This Row],[Id Interno]],"-",PAA[[#This Row],[tipo de Contrato (TH talento humano - B/S bienes y/o servicios)]],"-",S273,"-",T273,"-",PAA[[#This Row],[Objeto de la contratación]])</f>
        <v>20260234-TH-8173-4--Prestación de servicios profesionales para la gestión, seguimiento y control administrativo, técnico y operativo del equipo menor a cargo de la Subdirección Logística. SBLG.</v>
      </c>
    </row>
    <row r="274" spans="2:35" ht="84" customHeight="1" x14ac:dyDescent="0.35">
      <c r="B274" s="23">
        <v>20260235</v>
      </c>
      <c r="C274" s="97" t="s">
        <v>789</v>
      </c>
      <c r="D274" s="23" t="s">
        <v>105</v>
      </c>
      <c r="E274" s="23" t="s">
        <v>363</v>
      </c>
      <c r="F274" s="163" t="s">
        <v>145</v>
      </c>
      <c r="G274" s="164" t="s">
        <v>373</v>
      </c>
      <c r="H274" s="165">
        <v>10</v>
      </c>
      <c r="I274" s="165">
        <v>0</v>
      </c>
      <c r="J274" s="122">
        <v>32400000</v>
      </c>
      <c r="K274" s="88" t="s">
        <v>398</v>
      </c>
      <c r="L274" s="163" t="s">
        <v>157</v>
      </c>
      <c r="M274" s="166" t="s">
        <v>483</v>
      </c>
      <c r="N274" s="23" t="s">
        <v>198</v>
      </c>
      <c r="O274" s="144" t="s">
        <v>887</v>
      </c>
      <c r="P274" s="163" t="s">
        <v>348</v>
      </c>
      <c r="Q274" s="53">
        <v>80111600</v>
      </c>
      <c r="R274" s="166" t="s">
        <v>213</v>
      </c>
      <c r="S274" s="166" t="str">
        <f>MID(PAA[[#This Row],[Meta Proyecto de Inversión]],1,4)</f>
        <v>8173</v>
      </c>
      <c r="T274" s="166" t="str">
        <f>MID(PAA[[#This Row],[Meta Proyecto de Inversión]],6,2)</f>
        <v>4-</v>
      </c>
      <c r="U274" s="167" t="str">
        <f>IFERROR(VLOOKUP(N274,TD!$B$54:$F$58,2,0)," ")</f>
        <v>O230117</v>
      </c>
      <c r="V274" s="167" t="str">
        <f>IFERROR(VLOOKUP(N274,TD!$B$54:$F$58,3,0)," ")</f>
        <v>4503</v>
      </c>
      <c r="W274" s="167">
        <f>IFERROR(VLOOKUP(N274,TD!$B$54:$F$58,4,0)," ")</f>
        <v>20240255</v>
      </c>
      <c r="X274" s="166" t="s">
        <v>176</v>
      </c>
      <c r="Y274" s="167" t="str">
        <f>IFERROR(VLOOKUP(X274,TD!$J$55:$K$68,2,0)," ")</f>
        <v>Servicio de mantenimiento, dotación (HEA´s y equipo menor) y adquisición de vehiculos   especializados para la atención de emergencias.</v>
      </c>
      <c r="Z274" s="168" t="str">
        <f>CONCATENATE(X274,"-",Y274)</f>
        <v>09-Servicio de mantenimiento, dotación (HEA´s y equipo menor) y adquisición de vehiculos   especializados para la atención de emergencias.</v>
      </c>
      <c r="AA274" s="166" t="s">
        <v>221</v>
      </c>
      <c r="AB274" s="167" t="str">
        <f>IFERROR(VLOOKUP(AA274,TD!$N$55:$O$70,2,0)," ")</f>
        <v>Servicio de atención a emergencias y desastres</v>
      </c>
      <c r="AC274" s="168" t="str">
        <f>CONCATENATE(AA274,"_",AB274)</f>
        <v>004_Servicio de atención a emergencias y desastres</v>
      </c>
      <c r="AD274" s="168" t="str">
        <f>CONCATENATE(Z274," ",AC274)</f>
        <v>09-Servicio de mantenimiento, dotación (HEA´s y equipo menor) y adquisición de vehiculos   especializados para la atención de emergencias. 004_Servicio de atención a emergencias y desastres</v>
      </c>
      <c r="AE274" s="167" t="str">
        <f>CONCATENATE(U274,V274,W274,X274,AA274)</f>
        <v>O23011745032024025509004</v>
      </c>
      <c r="AF274" s="167" t="str">
        <f>IFERROR(VLOOKUP(AD274,TD!$J$70:$K$93,2,0)," ")</f>
        <v>PM/0131/0109/45030040255</v>
      </c>
      <c r="AG274" s="114" t="s">
        <v>385</v>
      </c>
      <c r="AH274" s="166" t="s">
        <v>193</v>
      </c>
      <c r="AI274" s="169" t="str">
        <f>CONCATENATE(PAA[[#This Row],[Id Interno]],"-",PAA[[#This Row],[tipo de Contrato (TH talento humano - B/S bienes y/o servicios)]],"-",S274,"-",T274,"-",PAA[[#This Row],[Objeto de la contratación]])</f>
        <v>20260235-TH-8173-4--Prestar servicio de apoyo a la gestión para asistir a la Subdirección Logística en el seguimiento técnico y administrativo de los mantenimientos minimos requeridos en la Subdirección Logística - SBLG</v>
      </c>
    </row>
    <row r="275" spans="2:35" ht="56" x14ac:dyDescent="0.35">
      <c r="B275" s="23">
        <v>20260236</v>
      </c>
      <c r="C275" s="97" t="s">
        <v>789</v>
      </c>
      <c r="D275" s="23" t="s">
        <v>105</v>
      </c>
      <c r="E275" s="23" t="s">
        <v>363</v>
      </c>
      <c r="F275" s="163" t="s">
        <v>145</v>
      </c>
      <c r="G275" s="164" t="s">
        <v>373</v>
      </c>
      <c r="H275" s="165">
        <v>9</v>
      </c>
      <c r="I275" s="165">
        <v>0</v>
      </c>
      <c r="J275" s="122">
        <v>28800000</v>
      </c>
      <c r="K275" s="88" t="s">
        <v>398</v>
      </c>
      <c r="L275" s="163" t="s">
        <v>157</v>
      </c>
      <c r="M275" s="166" t="s">
        <v>483</v>
      </c>
      <c r="N275" s="23" t="s">
        <v>198</v>
      </c>
      <c r="O275" s="144" t="s">
        <v>887</v>
      </c>
      <c r="P275" s="163" t="s">
        <v>348</v>
      </c>
      <c r="Q275" s="53">
        <v>80111600</v>
      </c>
      <c r="R275" s="166" t="s">
        <v>213</v>
      </c>
      <c r="S275" s="166" t="str">
        <f>MID(PAA[[#This Row],[Meta Proyecto de Inversión]],1,4)</f>
        <v>8173</v>
      </c>
      <c r="T275" s="166" t="str">
        <f>MID(PAA[[#This Row],[Meta Proyecto de Inversión]],6,2)</f>
        <v>4-</v>
      </c>
      <c r="U275" s="167" t="str">
        <f>IFERROR(VLOOKUP(N275,TD!$B$54:$F$58,2,0)," ")</f>
        <v>O230117</v>
      </c>
      <c r="V275" s="167" t="str">
        <f>IFERROR(VLOOKUP(N275,TD!$B$54:$F$58,3,0)," ")</f>
        <v>4503</v>
      </c>
      <c r="W275" s="167">
        <f>IFERROR(VLOOKUP(N275,TD!$B$54:$F$58,4,0)," ")</f>
        <v>20240255</v>
      </c>
      <c r="X275" s="166" t="s">
        <v>176</v>
      </c>
      <c r="Y275" s="167" t="str">
        <f>IFERROR(VLOOKUP(X275,TD!$J$55:$K$68,2,0)," ")</f>
        <v>Servicio de mantenimiento, dotación (HEA´s y equipo menor) y adquisición de vehiculos   especializados para la atención de emergencias.</v>
      </c>
      <c r="Z275" s="168" t="str">
        <f>CONCATENATE(X275,"-",Y275)</f>
        <v>09-Servicio de mantenimiento, dotación (HEA´s y equipo menor) y adquisición de vehiculos   especializados para la atención de emergencias.</v>
      </c>
      <c r="AA275" s="166" t="s">
        <v>221</v>
      </c>
      <c r="AB275" s="167" t="str">
        <f>IFERROR(VLOOKUP(AA275,TD!$N$55:$O$70,2,0)," ")</f>
        <v>Servicio de atención a emergencias y desastres</v>
      </c>
      <c r="AC275" s="168" t="str">
        <f>CONCATENATE(AA275,"_",AB275)</f>
        <v>004_Servicio de atención a emergencias y desastres</v>
      </c>
      <c r="AD275" s="168" t="str">
        <f>CONCATENATE(Z275," ",AC275)</f>
        <v>09-Servicio de mantenimiento, dotación (HEA´s y equipo menor) y adquisición de vehiculos   especializados para la atención de emergencias. 004_Servicio de atención a emergencias y desastres</v>
      </c>
      <c r="AE275" s="167" t="str">
        <f>CONCATENATE(U275,V275,W275,X275,AA275)</f>
        <v>O23011745032024025509004</v>
      </c>
      <c r="AF275" s="167" t="str">
        <f>IFERROR(VLOOKUP(AD275,TD!$J$70:$K$93,2,0)," ")</f>
        <v>PM/0131/0109/45030040255</v>
      </c>
      <c r="AG275" s="114" t="s">
        <v>385</v>
      </c>
      <c r="AH275" s="166" t="s">
        <v>193</v>
      </c>
      <c r="AI275" s="169" t="str">
        <f>CONCATENATE(PAA[[#This Row],[Id Interno]],"-",PAA[[#This Row],[tipo de Contrato (TH talento humano - B/S bienes y/o servicios)]],"-",S275,"-",T275,"-",PAA[[#This Row],[Objeto de la contratación]])</f>
        <v>20260236-TH-8173-4--Prestar servicio de apoyo a la gestión para asistir a la Subdirección Logística en el seguimiento técnico y administrativo de los mantenimientos minimos requeridos en la Subdirección Logística - SBLG</v>
      </c>
    </row>
    <row r="276" spans="2:35" ht="56" x14ac:dyDescent="0.35">
      <c r="B276" s="23">
        <v>20260237</v>
      </c>
      <c r="C276" s="97" t="s">
        <v>504</v>
      </c>
      <c r="D276" s="23" t="s">
        <v>105</v>
      </c>
      <c r="E276" s="23" t="s">
        <v>363</v>
      </c>
      <c r="F276" s="163" t="s">
        <v>144</v>
      </c>
      <c r="G276" s="164" t="s">
        <v>373</v>
      </c>
      <c r="H276" s="165">
        <v>6</v>
      </c>
      <c r="I276" s="165">
        <v>0</v>
      </c>
      <c r="J276" s="122">
        <v>42000000</v>
      </c>
      <c r="K276" s="88" t="s">
        <v>398</v>
      </c>
      <c r="L276" s="163" t="s">
        <v>157</v>
      </c>
      <c r="M276" s="166" t="s">
        <v>483</v>
      </c>
      <c r="N276" s="23" t="s">
        <v>198</v>
      </c>
      <c r="O276" s="144" t="s">
        <v>887</v>
      </c>
      <c r="P276" s="163" t="s">
        <v>348</v>
      </c>
      <c r="Q276" s="53">
        <v>80111600</v>
      </c>
      <c r="R276" s="166" t="s">
        <v>213</v>
      </c>
      <c r="S276" s="166" t="str">
        <f>MID(PAA[[#This Row],[Meta Proyecto de Inversión]],1,4)</f>
        <v>8173</v>
      </c>
      <c r="T276" s="166" t="str">
        <f>MID(PAA[[#This Row],[Meta Proyecto de Inversión]],6,2)</f>
        <v>4-</v>
      </c>
      <c r="U276" s="167" t="str">
        <f>IFERROR(VLOOKUP(N276,TD!$B$54:$F$58,2,0)," ")</f>
        <v>O230117</v>
      </c>
      <c r="V276" s="167" t="str">
        <f>IFERROR(VLOOKUP(N276,TD!$B$54:$F$58,3,0)," ")</f>
        <v>4503</v>
      </c>
      <c r="W276" s="167">
        <f>IFERROR(VLOOKUP(N276,TD!$B$54:$F$58,4,0)," ")</f>
        <v>20240255</v>
      </c>
      <c r="X276" s="166" t="s">
        <v>176</v>
      </c>
      <c r="Y276" s="167" t="str">
        <f>IFERROR(VLOOKUP(X276,TD!$J$55:$K$68,2,0)," ")</f>
        <v>Servicio de mantenimiento, dotación (HEA´s y equipo menor) y adquisición de vehiculos   especializados para la atención de emergencias.</v>
      </c>
      <c r="Z276" s="168" t="str">
        <f>CONCATENATE(X276,"-",Y276)</f>
        <v>09-Servicio de mantenimiento, dotación (HEA´s y equipo menor) y adquisición de vehiculos   especializados para la atención de emergencias.</v>
      </c>
      <c r="AA276" s="166" t="s">
        <v>221</v>
      </c>
      <c r="AB276" s="167" t="str">
        <f>IFERROR(VLOOKUP(AA276,TD!$N$55:$O$70,2,0)," ")</f>
        <v>Servicio de atención a emergencias y desastres</v>
      </c>
      <c r="AC276" s="168" t="str">
        <f>CONCATENATE(AA276,"_",AB276)</f>
        <v>004_Servicio de atención a emergencias y desastres</v>
      </c>
      <c r="AD276" s="168" t="str">
        <f>CONCATENATE(Z276," ",AC276)</f>
        <v>09-Servicio de mantenimiento, dotación (HEA´s y equipo menor) y adquisición de vehiculos   especializados para la atención de emergencias. 004_Servicio de atención a emergencias y desastres</v>
      </c>
      <c r="AE276" s="167" t="str">
        <f>CONCATENATE(U276,V276,W276,X276,AA276)</f>
        <v>O23011745032024025509004</v>
      </c>
      <c r="AF276" s="167" t="str">
        <f>IFERROR(VLOOKUP(AD276,TD!$J$70:$K$93,2,0)," ")</f>
        <v>PM/0131/0109/45030040255</v>
      </c>
      <c r="AG276" s="114" t="s">
        <v>385</v>
      </c>
      <c r="AH276" s="166" t="s">
        <v>193</v>
      </c>
      <c r="AI276" s="169" t="str">
        <f>CONCATENATE(PAA[[#This Row],[Id Interno]],"-",PAA[[#This Row],[tipo de Contrato (TH talento humano - B/S bienes y/o servicios)]],"-",S276,"-",T276,"-",PAA[[#This Row],[Objeto de la contratación]])</f>
        <v>20260237-TH-8173-4--Prestación de servicios profesionales para realizar el seguimiento y monitoreo a los diferentes procesos y procedimientos del equipo menor a cargo de la Subdirección Logística - SBLG</v>
      </c>
    </row>
    <row r="277" spans="2:35" ht="56" x14ac:dyDescent="0.35">
      <c r="B277" s="23">
        <v>20260238</v>
      </c>
      <c r="C277" s="97" t="s">
        <v>790</v>
      </c>
      <c r="D277" s="23" t="s">
        <v>105</v>
      </c>
      <c r="E277" s="23" t="s">
        <v>363</v>
      </c>
      <c r="F277" s="163" t="s">
        <v>145</v>
      </c>
      <c r="G277" s="164" t="s">
        <v>373</v>
      </c>
      <c r="H277" s="165">
        <v>9</v>
      </c>
      <c r="I277" s="165">
        <v>0</v>
      </c>
      <c r="J277" s="122">
        <v>28800000</v>
      </c>
      <c r="K277" s="88" t="s">
        <v>398</v>
      </c>
      <c r="L277" s="163" t="s">
        <v>157</v>
      </c>
      <c r="M277" s="166" t="s">
        <v>483</v>
      </c>
      <c r="N277" s="23" t="s">
        <v>198</v>
      </c>
      <c r="O277" s="144" t="s">
        <v>887</v>
      </c>
      <c r="P277" s="163" t="s">
        <v>348</v>
      </c>
      <c r="Q277" s="53">
        <v>80111600</v>
      </c>
      <c r="R277" s="166" t="s">
        <v>213</v>
      </c>
      <c r="S277" s="166" t="str">
        <f>MID(PAA[[#This Row],[Meta Proyecto de Inversión]],1,4)</f>
        <v>8173</v>
      </c>
      <c r="T277" s="166" t="str">
        <f>MID(PAA[[#This Row],[Meta Proyecto de Inversión]],6,2)</f>
        <v>4-</v>
      </c>
      <c r="U277" s="167" t="str">
        <f>IFERROR(VLOOKUP(N277,TD!$B$54:$F$58,2,0)," ")</f>
        <v>O230117</v>
      </c>
      <c r="V277" s="167" t="str">
        <f>IFERROR(VLOOKUP(N277,TD!$B$54:$F$58,3,0)," ")</f>
        <v>4503</v>
      </c>
      <c r="W277" s="167">
        <f>IFERROR(VLOOKUP(N277,TD!$B$54:$F$58,4,0)," ")</f>
        <v>20240255</v>
      </c>
      <c r="X277" s="166" t="s">
        <v>176</v>
      </c>
      <c r="Y277" s="167" t="str">
        <f>IFERROR(VLOOKUP(X277,TD!$J$55:$K$68,2,0)," ")</f>
        <v>Servicio de mantenimiento, dotación (HEA´s y equipo menor) y adquisición de vehiculos   especializados para la atención de emergencias.</v>
      </c>
      <c r="Z277" s="168" t="str">
        <f>CONCATENATE(X277,"-",Y277)</f>
        <v>09-Servicio de mantenimiento, dotación (HEA´s y equipo menor) y adquisición de vehiculos   especializados para la atención de emergencias.</v>
      </c>
      <c r="AA277" s="166" t="s">
        <v>221</v>
      </c>
      <c r="AB277" s="167" t="str">
        <f>IFERROR(VLOOKUP(AA277,TD!$N$55:$O$70,2,0)," ")</f>
        <v>Servicio de atención a emergencias y desastres</v>
      </c>
      <c r="AC277" s="168" t="str">
        <f>CONCATENATE(AA277,"_",AB277)</f>
        <v>004_Servicio de atención a emergencias y desastres</v>
      </c>
      <c r="AD277" s="168" t="str">
        <f>CONCATENATE(Z277," ",AC277)</f>
        <v>09-Servicio de mantenimiento, dotación (HEA´s y equipo menor) y adquisición de vehiculos   especializados para la atención de emergencias. 004_Servicio de atención a emergencias y desastres</v>
      </c>
      <c r="AE277" s="167" t="str">
        <f>CONCATENATE(U277,V277,W277,X277,AA277)</f>
        <v>O23011745032024025509004</v>
      </c>
      <c r="AF277" s="167" t="str">
        <f>IFERROR(VLOOKUP(AD277,TD!$J$70:$K$93,2,0)," ")</f>
        <v>PM/0131/0109/45030040255</v>
      </c>
      <c r="AG277" s="114" t="s">
        <v>385</v>
      </c>
      <c r="AH277" s="166" t="s">
        <v>193</v>
      </c>
      <c r="AI277" s="169" t="str">
        <f>CONCATENATE(PAA[[#This Row],[Id Interno]],"-",PAA[[#This Row],[tipo de Contrato (TH talento humano - B/S bienes y/o servicios)]],"-",S277,"-",T277,"-",PAA[[#This Row],[Objeto de la contratación]])</f>
        <v>20260238-TH-8173-4--Prestar servicios de apoyo a la gestión en actividades administrativas y documentales en el procedimiento de equipo menor desarrollo de las estrategías de la Subdirección Logística - SBLG - SBLG</v>
      </c>
    </row>
    <row r="278" spans="2:35" ht="56" x14ac:dyDescent="0.35">
      <c r="B278" s="23">
        <v>20260239</v>
      </c>
      <c r="C278" s="97" t="s">
        <v>504</v>
      </c>
      <c r="D278" s="23" t="s">
        <v>105</v>
      </c>
      <c r="E278" s="23" t="s">
        <v>363</v>
      </c>
      <c r="F278" s="163" t="s">
        <v>144</v>
      </c>
      <c r="G278" s="164" t="s">
        <v>373</v>
      </c>
      <c r="H278" s="165">
        <v>9</v>
      </c>
      <c r="I278" s="165">
        <v>0</v>
      </c>
      <c r="J278" s="122">
        <v>44000000</v>
      </c>
      <c r="K278" s="88" t="s">
        <v>398</v>
      </c>
      <c r="L278" s="163" t="s">
        <v>157</v>
      </c>
      <c r="M278" s="166" t="s">
        <v>483</v>
      </c>
      <c r="N278" s="23" t="s">
        <v>198</v>
      </c>
      <c r="O278" s="144" t="s">
        <v>887</v>
      </c>
      <c r="P278" s="163" t="s">
        <v>348</v>
      </c>
      <c r="Q278" s="53">
        <v>80111600</v>
      </c>
      <c r="R278" s="166" t="s">
        <v>213</v>
      </c>
      <c r="S278" s="166" t="str">
        <f>MID(PAA[[#This Row],[Meta Proyecto de Inversión]],1,4)</f>
        <v>8173</v>
      </c>
      <c r="T278" s="166" t="str">
        <f>MID(PAA[[#This Row],[Meta Proyecto de Inversión]],6,2)</f>
        <v>4-</v>
      </c>
      <c r="U278" s="167" t="str">
        <f>IFERROR(VLOOKUP(N278,TD!$B$54:$F$58,2,0)," ")</f>
        <v>O230117</v>
      </c>
      <c r="V278" s="167" t="str">
        <f>IFERROR(VLOOKUP(N278,TD!$B$54:$F$58,3,0)," ")</f>
        <v>4503</v>
      </c>
      <c r="W278" s="167">
        <f>IFERROR(VLOOKUP(N278,TD!$B$54:$F$58,4,0)," ")</f>
        <v>20240255</v>
      </c>
      <c r="X278" s="166" t="s">
        <v>176</v>
      </c>
      <c r="Y278" s="167" t="str">
        <f>IFERROR(VLOOKUP(X278,TD!$J$55:$K$68,2,0)," ")</f>
        <v>Servicio de mantenimiento, dotación (HEA´s y equipo menor) y adquisición de vehiculos   especializados para la atención de emergencias.</v>
      </c>
      <c r="Z278" s="168" t="str">
        <f>CONCATENATE(X278,"-",Y278)</f>
        <v>09-Servicio de mantenimiento, dotación (HEA´s y equipo menor) y adquisición de vehiculos   especializados para la atención de emergencias.</v>
      </c>
      <c r="AA278" s="166" t="s">
        <v>221</v>
      </c>
      <c r="AB278" s="167" t="str">
        <f>IFERROR(VLOOKUP(AA278,TD!$N$55:$O$70,2,0)," ")</f>
        <v>Servicio de atención a emergencias y desastres</v>
      </c>
      <c r="AC278" s="168" t="str">
        <f>CONCATENATE(AA278,"_",AB278)</f>
        <v>004_Servicio de atención a emergencias y desastres</v>
      </c>
      <c r="AD278" s="168" t="str">
        <f>CONCATENATE(Z278," ",AC278)</f>
        <v>09-Servicio de mantenimiento, dotación (HEA´s y equipo menor) y adquisición de vehiculos   especializados para la atención de emergencias. 004_Servicio de atención a emergencias y desastres</v>
      </c>
      <c r="AE278" s="167" t="str">
        <f>CONCATENATE(U278,V278,W278,X278,AA278)</f>
        <v>O23011745032024025509004</v>
      </c>
      <c r="AF278" s="167" t="str">
        <f>IFERROR(VLOOKUP(AD278,TD!$J$70:$K$93,2,0)," ")</f>
        <v>PM/0131/0109/45030040255</v>
      </c>
      <c r="AG278" s="114" t="s">
        <v>385</v>
      </c>
      <c r="AH278" s="166" t="s">
        <v>193</v>
      </c>
      <c r="AI278" s="169" t="str">
        <f>CONCATENATE(PAA[[#This Row],[Id Interno]],"-",PAA[[#This Row],[tipo de Contrato (TH talento humano - B/S bienes y/o servicios)]],"-",S278,"-",T278,"-",PAA[[#This Row],[Objeto de la contratación]])</f>
        <v>20260239-TH-8173-4--Prestación de servicios profesionales para realizar el seguimiento y monitoreo a los diferentes procesos y procedimientos del equipo menor a cargo de la Subdirección Logística - SBLG</v>
      </c>
    </row>
    <row r="279" spans="2:35" ht="56" x14ac:dyDescent="0.35">
      <c r="B279" s="23">
        <v>20260240</v>
      </c>
      <c r="C279" s="97" t="s">
        <v>789</v>
      </c>
      <c r="D279" s="23" t="s">
        <v>105</v>
      </c>
      <c r="E279" s="23" t="s">
        <v>363</v>
      </c>
      <c r="F279" s="163" t="s">
        <v>145</v>
      </c>
      <c r="G279" s="164" t="s">
        <v>373</v>
      </c>
      <c r="H279" s="165">
        <v>7</v>
      </c>
      <c r="I279" s="165">
        <v>0</v>
      </c>
      <c r="J279" s="122">
        <v>25200000</v>
      </c>
      <c r="K279" s="88" t="s">
        <v>398</v>
      </c>
      <c r="L279" s="163" t="s">
        <v>157</v>
      </c>
      <c r="M279" s="166" t="s">
        <v>483</v>
      </c>
      <c r="N279" s="23" t="s">
        <v>198</v>
      </c>
      <c r="O279" s="144" t="s">
        <v>887</v>
      </c>
      <c r="P279" s="163" t="s">
        <v>348</v>
      </c>
      <c r="Q279" s="53">
        <v>80111600</v>
      </c>
      <c r="R279" s="166" t="s">
        <v>213</v>
      </c>
      <c r="S279" s="166" t="str">
        <f>MID(PAA[[#This Row],[Meta Proyecto de Inversión]],1,4)</f>
        <v>8173</v>
      </c>
      <c r="T279" s="166" t="str">
        <f>MID(PAA[[#This Row],[Meta Proyecto de Inversión]],6,2)</f>
        <v>4-</v>
      </c>
      <c r="U279" s="167" t="str">
        <f>IFERROR(VLOOKUP(N279,TD!$B$54:$F$58,2,0)," ")</f>
        <v>O230117</v>
      </c>
      <c r="V279" s="167" t="str">
        <f>IFERROR(VLOOKUP(N279,TD!$B$54:$F$58,3,0)," ")</f>
        <v>4503</v>
      </c>
      <c r="W279" s="167">
        <f>IFERROR(VLOOKUP(N279,TD!$B$54:$F$58,4,0)," ")</f>
        <v>20240255</v>
      </c>
      <c r="X279" s="166" t="s">
        <v>176</v>
      </c>
      <c r="Y279" s="167" t="str">
        <f>IFERROR(VLOOKUP(X279,TD!$J$55:$K$68,2,0)," ")</f>
        <v>Servicio de mantenimiento, dotación (HEA´s y equipo menor) y adquisición de vehiculos   especializados para la atención de emergencias.</v>
      </c>
      <c r="Z279" s="168" t="str">
        <f>CONCATENATE(X279,"-",Y279)</f>
        <v>09-Servicio de mantenimiento, dotación (HEA´s y equipo menor) y adquisición de vehiculos   especializados para la atención de emergencias.</v>
      </c>
      <c r="AA279" s="166" t="s">
        <v>221</v>
      </c>
      <c r="AB279" s="167" t="str">
        <f>IFERROR(VLOOKUP(AA279,TD!$N$55:$O$70,2,0)," ")</f>
        <v>Servicio de atención a emergencias y desastres</v>
      </c>
      <c r="AC279" s="168" t="str">
        <f>CONCATENATE(AA279,"_",AB279)</f>
        <v>004_Servicio de atención a emergencias y desastres</v>
      </c>
      <c r="AD279" s="168" t="str">
        <f>CONCATENATE(Z279," ",AC279)</f>
        <v>09-Servicio de mantenimiento, dotación (HEA´s y equipo menor) y adquisición de vehiculos   especializados para la atención de emergencias. 004_Servicio de atención a emergencias y desastres</v>
      </c>
      <c r="AE279" s="167" t="str">
        <f>CONCATENATE(U279,V279,W279,X279,AA279)</f>
        <v>O23011745032024025509004</v>
      </c>
      <c r="AF279" s="167" t="str">
        <f>IFERROR(VLOOKUP(AD279,TD!$J$70:$K$93,2,0)," ")</f>
        <v>PM/0131/0109/45030040255</v>
      </c>
      <c r="AG279" s="114" t="s">
        <v>385</v>
      </c>
      <c r="AH279" s="166" t="s">
        <v>193</v>
      </c>
      <c r="AI279" s="169" t="str">
        <f>CONCATENATE(PAA[[#This Row],[Id Interno]],"-",PAA[[#This Row],[tipo de Contrato (TH talento humano - B/S bienes y/o servicios)]],"-",S279,"-",T279,"-",PAA[[#This Row],[Objeto de la contratación]])</f>
        <v>20260240-TH-8173-4--Prestar servicio de apoyo a la gestión para asistir a la Subdirección Logística en el seguimiento técnico y administrativo de los mantenimientos minimos requeridos en la Subdirección Logística - SBLG</v>
      </c>
    </row>
    <row r="280" spans="2:35" ht="56" x14ac:dyDescent="0.35">
      <c r="B280" s="23">
        <v>20260241</v>
      </c>
      <c r="C280" s="97" t="s">
        <v>791</v>
      </c>
      <c r="D280" s="23" t="s">
        <v>105</v>
      </c>
      <c r="E280" s="23" t="s">
        <v>363</v>
      </c>
      <c r="F280" s="163" t="s">
        <v>144</v>
      </c>
      <c r="G280" s="164" t="s">
        <v>373</v>
      </c>
      <c r="H280" s="165">
        <v>7</v>
      </c>
      <c r="I280" s="165">
        <v>15</v>
      </c>
      <c r="J280" s="122">
        <v>60000000</v>
      </c>
      <c r="K280" s="88" t="s">
        <v>398</v>
      </c>
      <c r="L280" s="163" t="s">
        <v>157</v>
      </c>
      <c r="M280" s="166" t="s">
        <v>483</v>
      </c>
      <c r="N280" s="23" t="s">
        <v>198</v>
      </c>
      <c r="O280" s="144" t="s">
        <v>887</v>
      </c>
      <c r="P280" s="163" t="s">
        <v>348</v>
      </c>
      <c r="Q280" s="53">
        <v>80111600</v>
      </c>
      <c r="R280" s="166" t="s">
        <v>213</v>
      </c>
      <c r="S280" s="166" t="str">
        <f>MID(PAA[[#This Row],[Meta Proyecto de Inversión]],1,4)</f>
        <v>8173</v>
      </c>
      <c r="T280" s="166" t="str">
        <f>MID(PAA[[#This Row],[Meta Proyecto de Inversión]],6,2)</f>
        <v>4-</v>
      </c>
      <c r="U280" s="167" t="str">
        <f>IFERROR(VLOOKUP(N280,TD!$B$54:$F$58,2,0)," ")</f>
        <v>O230117</v>
      </c>
      <c r="V280" s="167" t="str">
        <f>IFERROR(VLOOKUP(N280,TD!$B$54:$F$58,3,0)," ")</f>
        <v>4503</v>
      </c>
      <c r="W280" s="167">
        <f>IFERROR(VLOOKUP(N280,TD!$B$54:$F$58,4,0)," ")</f>
        <v>20240255</v>
      </c>
      <c r="X280" s="166" t="s">
        <v>180</v>
      </c>
      <c r="Y280" s="167" t="str">
        <f>IFERROR(VLOOKUP(X280,TD!$J$55:$K$68,2,0)," ")</f>
        <v>Servicio de apoyo   logístico  en eventos operativos y/o emergencias.</v>
      </c>
      <c r="Z280" s="168" t="str">
        <f>CONCATENATE(X280,"-",Y280)</f>
        <v>12-Servicio de apoyo   logístico  en eventos operativos y/o emergencias.</v>
      </c>
      <c r="AA280" s="166" t="s">
        <v>221</v>
      </c>
      <c r="AB280" s="167" t="str">
        <f>IFERROR(VLOOKUP(AA280,TD!$N$55:$O$70,2,0)," ")</f>
        <v>Servicio de atención a emergencias y desastres</v>
      </c>
      <c r="AC280" s="168" t="str">
        <f>CONCATENATE(AA280,"_",AB280)</f>
        <v>004_Servicio de atención a emergencias y desastres</v>
      </c>
      <c r="AD280" s="168" t="str">
        <f>CONCATENATE(Z280," ",AC280)</f>
        <v>12-Servicio de apoyo   logístico  en eventos operativos y/o emergencias. 004_Servicio de atención a emergencias y desastres</v>
      </c>
      <c r="AE280" s="167" t="str">
        <f>CONCATENATE(U280,V280,W280,X280,AA280)</f>
        <v>O23011745032024025512004</v>
      </c>
      <c r="AF280" s="167" t="str">
        <f>IFERROR(VLOOKUP(AD280,TD!$J$70:$K$93,2,0)," ")</f>
        <v>PM/0131/0112/45030040255</v>
      </c>
      <c r="AG280" s="114" t="s">
        <v>385</v>
      </c>
      <c r="AH280" s="166" t="s">
        <v>193</v>
      </c>
      <c r="AI280" s="169" t="str">
        <f>CONCATENATE(PAA[[#This Row],[Id Interno]],"-",PAA[[#This Row],[tipo de Contrato (TH talento humano - B/S bienes y/o servicios)]],"-",S280,"-",T280,"-",PAA[[#This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81" spans="2:35" ht="56" x14ac:dyDescent="0.35">
      <c r="B281" s="23">
        <v>20260242</v>
      </c>
      <c r="C281" s="97" t="s">
        <v>859</v>
      </c>
      <c r="D281" s="23" t="s">
        <v>105</v>
      </c>
      <c r="E281" s="23" t="s">
        <v>363</v>
      </c>
      <c r="F281" s="163" t="s">
        <v>144</v>
      </c>
      <c r="G281" s="164" t="s">
        <v>373</v>
      </c>
      <c r="H281" s="165">
        <v>7</v>
      </c>
      <c r="I281" s="165">
        <v>0</v>
      </c>
      <c r="J281" s="122">
        <v>31500000</v>
      </c>
      <c r="K281" s="88" t="s">
        <v>398</v>
      </c>
      <c r="L281" s="163" t="s">
        <v>157</v>
      </c>
      <c r="M281" s="166" t="s">
        <v>483</v>
      </c>
      <c r="N281" s="23" t="s">
        <v>198</v>
      </c>
      <c r="O281" s="144" t="s">
        <v>887</v>
      </c>
      <c r="P281" s="163" t="s">
        <v>348</v>
      </c>
      <c r="Q281" s="53">
        <v>80111600</v>
      </c>
      <c r="R281" s="166" t="s">
        <v>213</v>
      </c>
      <c r="S281" s="166" t="str">
        <f>MID(PAA[[#This Row],[Meta Proyecto de Inversión]],1,4)</f>
        <v>8173</v>
      </c>
      <c r="T281" s="166" t="str">
        <f>MID(PAA[[#This Row],[Meta Proyecto de Inversión]],6,2)</f>
        <v>4-</v>
      </c>
      <c r="U281" s="167" t="str">
        <f>IFERROR(VLOOKUP(N281,TD!$B$54:$F$58,2,0)," ")</f>
        <v>O230117</v>
      </c>
      <c r="V281" s="167" t="str">
        <f>IFERROR(VLOOKUP(N281,TD!$B$54:$F$58,3,0)," ")</f>
        <v>4503</v>
      </c>
      <c r="W281" s="167">
        <f>IFERROR(VLOOKUP(N281,TD!$B$54:$F$58,4,0)," ")</f>
        <v>20240255</v>
      </c>
      <c r="X281" s="166" t="s">
        <v>180</v>
      </c>
      <c r="Y281" s="167" t="str">
        <f>IFERROR(VLOOKUP(X281,TD!$J$55:$K$68,2,0)," ")</f>
        <v>Servicio de apoyo   logístico  en eventos operativos y/o emergencias.</v>
      </c>
      <c r="Z281" s="168" t="str">
        <f>CONCATENATE(X281,"-",Y281)</f>
        <v>12-Servicio de apoyo   logístico  en eventos operativos y/o emergencias.</v>
      </c>
      <c r="AA281" s="166" t="s">
        <v>221</v>
      </c>
      <c r="AB281" s="167" t="str">
        <f>IFERROR(VLOOKUP(AA281,TD!$N$55:$O$70,2,0)," ")</f>
        <v>Servicio de atención a emergencias y desastres</v>
      </c>
      <c r="AC281" s="168" t="str">
        <f>CONCATENATE(AA281,"_",AB281)</f>
        <v>004_Servicio de atención a emergencias y desastres</v>
      </c>
      <c r="AD281" s="168" t="str">
        <f>CONCATENATE(Z281," ",AC281)</f>
        <v>12-Servicio de apoyo   logístico  en eventos operativos y/o emergencias. 004_Servicio de atención a emergencias y desastres</v>
      </c>
      <c r="AE281" s="167" t="str">
        <f>CONCATENATE(U281,V281,W281,X281,AA281)</f>
        <v>O23011745032024025512004</v>
      </c>
      <c r="AF281" s="167" t="str">
        <f>IFERROR(VLOOKUP(AD281,TD!$J$70:$K$93,2,0)," ")</f>
        <v>PM/0131/0112/45030040255</v>
      </c>
      <c r="AG281" s="114" t="s">
        <v>385</v>
      </c>
      <c r="AH281" s="166" t="s">
        <v>193</v>
      </c>
      <c r="AI281" s="169" t="str">
        <f>CONCATENATE(PAA[[#This Row],[Id Interno]],"-",PAA[[#This Row],[tipo de Contrato (TH talento humano - B/S bienes y/o servicios)]],"-",S281,"-",T281,"-",PAA[[#This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82" spans="2:35" ht="56" x14ac:dyDescent="0.35">
      <c r="B282" s="23">
        <v>20260243</v>
      </c>
      <c r="C282" s="97" t="s">
        <v>792</v>
      </c>
      <c r="D282" s="23" t="s">
        <v>105</v>
      </c>
      <c r="E282" s="23" t="s">
        <v>363</v>
      </c>
      <c r="F282" s="163" t="s">
        <v>144</v>
      </c>
      <c r="G282" s="164" t="s">
        <v>373</v>
      </c>
      <c r="H282" s="165">
        <v>8</v>
      </c>
      <c r="I282" s="165">
        <v>0</v>
      </c>
      <c r="J282" s="122">
        <v>36000000</v>
      </c>
      <c r="K282" s="88" t="s">
        <v>398</v>
      </c>
      <c r="L282" s="163" t="s">
        <v>157</v>
      </c>
      <c r="M282" s="166" t="s">
        <v>483</v>
      </c>
      <c r="N282" s="23" t="s">
        <v>198</v>
      </c>
      <c r="O282" s="144" t="s">
        <v>887</v>
      </c>
      <c r="P282" s="163" t="s">
        <v>348</v>
      </c>
      <c r="Q282" s="53">
        <v>80111600</v>
      </c>
      <c r="R282" s="166" t="s">
        <v>213</v>
      </c>
      <c r="S282" s="166" t="str">
        <f>MID(PAA[[#This Row],[Meta Proyecto de Inversión]],1,4)</f>
        <v>8173</v>
      </c>
      <c r="T282" s="166" t="str">
        <f>MID(PAA[[#This Row],[Meta Proyecto de Inversión]],6,2)</f>
        <v>4-</v>
      </c>
      <c r="U282" s="167" t="str">
        <f>IFERROR(VLOOKUP(N282,TD!$B$54:$F$58,2,0)," ")</f>
        <v>O230117</v>
      </c>
      <c r="V282" s="167" t="str">
        <f>IFERROR(VLOOKUP(N282,TD!$B$54:$F$58,3,0)," ")</f>
        <v>4503</v>
      </c>
      <c r="W282" s="167">
        <f>IFERROR(VLOOKUP(N282,TD!$B$54:$F$58,4,0)," ")</f>
        <v>20240255</v>
      </c>
      <c r="X282" s="166" t="s">
        <v>180</v>
      </c>
      <c r="Y282" s="167" t="str">
        <f>IFERROR(VLOOKUP(X282,TD!$J$55:$K$68,2,0)," ")</f>
        <v>Servicio de apoyo   logístico  en eventos operativos y/o emergencias.</v>
      </c>
      <c r="Z282" s="168" t="str">
        <f>CONCATENATE(X282,"-",Y282)</f>
        <v>12-Servicio de apoyo   logístico  en eventos operativos y/o emergencias.</v>
      </c>
      <c r="AA282" s="166" t="s">
        <v>221</v>
      </c>
      <c r="AB282" s="167" t="str">
        <f>IFERROR(VLOOKUP(AA282,TD!$N$55:$O$70,2,0)," ")</f>
        <v>Servicio de atención a emergencias y desastres</v>
      </c>
      <c r="AC282" s="168" t="str">
        <f>CONCATENATE(AA282,"_",AB282)</f>
        <v>004_Servicio de atención a emergencias y desastres</v>
      </c>
      <c r="AD282" s="168" t="str">
        <f>CONCATENATE(Z282," ",AC282)</f>
        <v>12-Servicio de apoyo   logístico  en eventos operativos y/o emergencias. 004_Servicio de atención a emergencias y desastres</v>
      </c>
      <c r="AE282" s="167" t="str">
        <f>CONCATENATE(U282,V282,W282,X282,AA282)</f>
        <v>O23011745032024025512004</v>
      </c>
      <c r="AF282" s="167" t="str">
        <f>IFERROR(VLOOKUP(AD282,TD!$J$70:$K$93,2,0)," ")</f>
        <v>PM/0131/0112/45030040255</v>
      </c>
      <c r="AG282" s="114" t="s">
        <v>385</v>
      </c>
      <c r="AH282" s="166" t="s">
        <v>193</v>
      </c>
      <c r="AI282" s="169" t="str">
        <f>CONCATENATE(PAA[[#This Row],[Id Interno]],"-",PAA[[#This Row],[tipo de Contrato (TH talento humano - B/S bienes y/o servicios)]],"-",S282,"-",T282,"-",PAA[[#This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83" spans="2:35" ht="56" x14ac:dyDescent="0.35">
      <c r="B283" s="23">
        <v>20260244</v>
      </c>
      <c r="C283" s="97" t="s">
        <v>931</v>
      </c>
      <c r="D283" s="23" t="s">
        <v>114</v>
      </c>
      <c r="E283" s="23" t="s">
        <v>402</v>
      </c>
      <c r="F283" s="163" t="s">
        <v>111</v>
      </c>
      <c r="G283" s="164" t="s">
        <v>375</v>
      </c>
      <c r="H283" s="165">
        <v>10</v>
      </c>
      <c r="I283" s="165">
        <v>0</v>
      </c>
      <c r="J283" s="122">
        <f>111000000</f>
        <v>111000000</v>
      </c>
      <c r="K283" s="88" t="s">
        <v>398</v>
      </c>
      <c r="L283" s="163" t="s">
        <v>157</v>
      </c>
      <c r="M283" s="166" t="s">
        <v>483</v>
      </c>
      <c r="N283" s="23" t="s">
        <v>198</v>
      </c>
      <c r="O283" s="144" t="s">
        <v>887</v>
      </c>
      <c r="P283" s="163" t="s">
        <v>161</v>
      </c>
      <c r="Q283" s="53">
        <v>15101500</v>
      </c>
      <c r="R283" s="166" t="s">
        <v>213</v>
      </c>
      <c r="S283" s="166" t="str">
        <f>MID(PAA[[#This Row],[Meta Proyecto de Inversión]],1,4)</f>
        <v>8173</v>
      </c>
      <c r="T283" s="166" t="str">
        <f>MID(PAA[[#This Row],[Meta Proyecto de Inversión]],6,2)</f>
        <v>4-</v>
      </c>
      <c r="U283" s="167" t="str">
        <f>IFERROR(VLOOKUP(N283,TD!$B$54:$F$58,2,0)," ")</f>
        <v>O230117</v>
      </c>
      <c r="V283" s="167" t="str">
        <f>IFERROR(VLOOKUP(N283,TD!$B$54:$F$58,3,0)," ")</f>
        <v>4503</v>
      </c>
      <c r="W283" s="167">
        <f>IFERROR(VLOOKUP(N283,TD!$B$54:$F$58,4,0)," ")</f>
        <v>20240255</v>
      </c>
      <c r="X283" s="166" t="s">
        <v>180</v>
      </c>
      <c r="Y283" s="167" t="str">
        <f>IFERROR(VLOOKUP(X283,TD!$J$55:$K$68,2,0)," ")</f>
        <v>Servicio de apoyo   logístico  en eventos operativos y/o emergencias.</v>
      </c>
      <c r="Z283" s="168" t="str">
        <f>CONCATENATE(X283,"-",Y283)</f>
        <v>12-Servicio de apoyo   logístico  en eventos operativos y/o emergencias.</v>
      </c>
      <c r="AA283" s="166" t="s">
        <v>221</v>
      </c>
      <c r="AB283" s="167" t="str">
        <f>IFERROR(VLOOKUP(AA283,TD!$N$55:$O$70,2,0)," ")</f>
        <v>Servicio de atención a emergencias y desastres</v>
      </c>
      <c r="AC283" s="168" t="str">
        <f>CONCATENATE(AA283,"_",AB283)</f>
        <v>004_Servicio de atención a emergencias y desastres</v>
      </c>
      <c r="AD283" s="168" t="str">
        <f>CONCATENATE(Z283," ",AC283)</f>
        <v>12-Servicio de apoyo   logístico  en eventos operativos y/o emergencias. 004_Servicio de atención a emergencias y desastres</v>
      </c>
      <c r="AE283" s="167" t="str">
        <f>CONCATENATE(U283,V283,W283,X283,AA283)</f>
        <v>O23011745032024025512004</v>
      </c>
      <c r="AF283" s="167" t="str">
        <f>IFERROR(VLOOKUP(AD283,TD!$J$70:$K$93,2,0)," ")</f>
        <v>PM/0131/0112/45030040255</v>
      </c>
      <c r="AG283" s="114" t="s">
        <v>85</v>
      </c>
      <c r="AH283" s="166" t="s">
        <v>193</v>
      </c>
      <c r="AI283" s="169" t="str">
        <f>CONCATENATE(PAA[[#This Row],[Id Interno]],"-",PAA[[#This Row],[tipo de Contrato (TH talento humano - B/S bienes y/o servicios)]],"-",S283,"-",T283,"-",PAA[[#This Row],[Objeto de la contratación]])</f>
        <v>20260244-BS-8173-4--Suministrar combustible para el parque automotor y los equipos especializados de la U.A.E. Cuerpo Oficial de Bomberos Bogotá, dentro y fuera del perímetro del Distrito Capital – SBLG.</v>
      </c>
    </row>
    <row r="284" spans="2:35" ht="56" x14ac:dyDescent="0.35">
      <c r="B284" s="97">
        <v>20260245</v>
      </c>
      <c r="C284" s="97" t="s">
        <v>485</v>
      </c>
      <c r="D284" s="97" t="s">
        <v>83</v>
      </c>
      <c r="E284" s="97" t="s">
        <v>402</v>
      </c>
      <c r="F284" s="164" t="s">
        <v>89</v>
      </c>
      <c r="G284" s="164" t="s">
        <v>379</v>
      </c>
      <c r="H284" s="170">
        <v>10</v>
      </c>
      <c r="I284" s="170">
        <v>0</v>
      </c>
      <c r="J284" s="114">
        <v>125000000</v>
      </c>
      <c r="K284" s="121" t="s">
        <v>398</v>
      </c>
      <c r="L284" s="164" t="s">
        <v>157</v>
      </c>
      <c r="M284" s="171" t="s">
        <v>483</v>
      </c>
      <c r="N284" s="97" t="s">
        <v>198</v>
      </c>
      <c r="O284" s="144" t="s">
        <v>887</v>
      </c>
      <c r="P284" s="164" t="s">
        <v>348</v>
      </c>
      <c r="Q284" s="123" t="s">
        <v>486</v>
      </c>
      <c r="R284" s="171" t="s">
        <v>213</v>
      </c>
      <c r="S284" s="166" t="str">
        <f>MID(PAA[[#This Row],[Meta Proyecto de Inversión]],1,4)</f>
        <v>8173</v>
      </c>
      <c r="T284" s="166" t="str">
        <f>MID(PAA[[#This Row],[Meta Proyecto de Inversión]],6,2)</f>
        <v>4-</v>
      </c>
      <c r="U284" s="172" t="str">
        <f>IFERROR(VLOOKUP(N284,TD!$B$54:$F$58,2,0)," ")</f>
        <v>O230117</v>
      </c>
      <c r="V284" s="172" t="str">
        <f>IFERROR(VLOOKUP(N284,TD!$B$54:$F$58,3,0)," ")</f>
        <v>4503</v>
      </c>
      <c r="W284" s="172">
        <f>IFERROR(VLOOKUP(N284,TD!$B$54:$F$58,4,0)," ")</f>
        <v>20240255</v>
      </c>
      <c r="X284" s="171" t="s">
        <v>176</v>
      </c>
      <c r="Y284" s="172" t="str">
        <f>IFERROR(VLOOKUP(X284,TD!$J$55:$K$68,2,0)," ")</f>
        <v>Servicio de mantenimiento, dotación (HEA´s y equipo menor) y adquisición de vehiculos   especializados para la atención de emergencias.</v>
      </c>
      <c r="Z284" s="168" t="str">
        <f>CONCATENATE(X284,"-",Y284)</f>
        <v>09-Servicio de mantenimiento, dotación (HEA´s y equipo menor) y adquisición de vehiculos   especializados para la atención de emergencias.</v>
      </c>
      <c r="AA284" s="171" t="s">
        <v>221</v>
      </c>
      <c r="AB284" s="172" t="str">
        <f>IFERROR(VLOOKUP(AA284,TD!$N$55:$O$70,2,0)," ")</f>
        <v>Servicio de atención a emergencias y desastres</v>
      </c>
      <c r="AC284" s="168" t="str">
        <f>CONCATENATE(AA284,"_",AB284)</f>
        <v>004_Servicio de atención a emergencias y desastres</v>
      </c>
      <c r="AD284" s="168" t="str">
        <f>CONCATENATE(Z284," ",AC284)</f>
        <v>09-Servicio de mantenimiento, dotación (HEA´s y equipo menor) y adquisición de vehiculos   especializados para la atención de emergencias. 004_Servicio de atención a emergencias y desastres</v>
      </c>
      <c r="AE284" s="172" t="str">
        <f>CONCATENATE(U284,V284,W284,X284,AA284)</f>
        <v>O23011745032024025509004</v>
      </c>
      <c r="AF284" s="172" t="str">
        <f>IFERROR(VLOOKUP(AD284,TD!$J$70:$K$93,2,0)," ")</f>
        <v>PM/0131/0109/45030040255</v>
      </c>
      <c r="AG284" s="114" t="s">
        <v>80</v>
      </c>
      <c r="AH284" s="171" t="s">
        <v>193</v>
      </c>
      <c r="AI284" s="173" t="str">
        <f>CONCATENATE(PAA[[#This Row],[Id Interno]],"-",PAA[[#This Row],[tipo de Contrato (TH talento humano - B/S bienes y/o servicios)]],"-",S284,"-",T284,"-",PAA[[#This Row],[Objeto de la contratación]])</f>
        <v>20260245-BS-8173-4--Mantenimiento correctivo y preventivo de los equipos menores con suministro, repuestos, accesorios e insumos de propiedad de la UAECOB. – SBLG </v>
      </c>
    </row>
    <row r="285" spans="2:35" ht="56" x14ac:dyDescent="0.35">
      <c r="B285" s="97">
        <v>20260247</v>
      </c>
      <c r="C285" s="97" t="s">
        <v>488</v>
      </c>
      <c r="D285" s="97" t="s">
        <v>92</v>
      </c>
      <c r="E285" s="97" t="s">
        <v>402</v>
      </c>
      <c r="F285" s="164" t="s">
        <v>111</v>
      </c>
      <c r="G285" s="164" t="s">
        <v>377</v>
      </c>
      <c r="H285" s="170">
        <v>8</v>
      </c>
      <c r="I285" s="170">
        <v>0</v>
      </c>
      <c r="J285" s="114">
        <v>48000000</v>
      </c>
      <c r="K285" s="121" t="s">
        <v>398</v>
      </c>
      <c r="L285" s="164" t="s">
        <v>157</v>
      </c>
      <c r="M285" s="171" t="s">
        <v>483</v>
      </c>
      <c r="N285" s="97" t="s">
        <v>198</v>
      </c>
      <c r="O285" s="144" t="s">
        <v>887</v>
      </c>
      <c r="P285" s="164" t="s">
        <v>348</v>
      </c>
      <c r="Q285" s="123" t="s">
        <v>489</v>
      </c>
      <c r="R285" s="171" t="s">
        <v>213</v>
      </c>
      <c r="S285" s="166" t="str">
        <f>MID(PAA[[#This Row],[Meta Proyecto de Inversión]],1,4)</f>
        <v>8173</v>
      </c>
      <c r="T285" s="166" t="str">
        <f>MID(PAA[[#This Row],[Meta Proyecto de Inversión]],6,2)</f>
        <v>4-</v>
      </c>
      <c r="U285" s="172" t="str">
        <f>IFERROR(VLOOKUP(N285,TD!$B$54:$F$58,2,0)," ")</f>
        <v>O230117</v>
      </c>
      <c r="V285" s="172" t="str">
        <f>IFERROR(VLOOKUP(N285,TD!$B$54:$F$58,3,0)," ")</f>
        <v>4503</v>
      </c>
      <c r="W285" s="172">
        <f>IFERROR(VLOOKUP(N285,TD!$B$54:$F$58,4,0)," ")</f>
        <v>20240255</v>
      </c>
      <c r="X285" s="171" t="s">
        <v>180</v>
      </c>
      <c r="Y285" s="172" t="str">
        <f>IFERROR(VLOOKUP(X285,TD!$J$55:$K$68,2,0)," ")</f>
        <v>Servicio de apoyo   logístico  en eventos operativos y/o emergencias.</v>
      </c>
      <c r="Z285" s="168" t="str">
        <f>CONCATENATE(X285,"-",Y285)</f>
        <v>12-Servicio de apoyo   logístico  en eventos operativos y/o emergencias.</v>
      </c>
      <c r="AA285" s="171" t="s">
        <v>221</v>
      </c>
      <c r="AB285" s="172" t="str">
        <f>IFERROR(VLOOKUP(AA285,TD!$N$55:$O$70,2,0)," ")</f>
        <v>Servicio de atención a emergencias y desastres</v>
      </c>
      <c r="AC285" s="168" t="str">
        <f>CONCATENATE(AA285,"_",AB285)</f>
        <v>004_Servicio de atención a emergencias y desastres</v>
      </c>
      <c r="AD285" s="168" t="str">
        <f>CONCATENATE(Z285," ",AC285)</f>
        <v>12-Servicio de apoyo   logístico  en eventos operativos y/o emergencias. 004_Servicio de atención a emergencias y desastres</v>
      </c>
      <c r="AE285" s="172" t="str">
        <f>CONCATENATE(U285,V285,W285,X285,AA285)</f>
        <v>O23011745032024025512004</v>
      </c>
      <c r="AF285" s="172" t="str">
        <f>IFERROR(VLOOKUP(AD285,TD!$J$70:$K$93,2,0)," ")</f>
        <v>PM/0131/0112/45030040255</v>
      </c>
      <c r="AG285" s="114" t="s">
        <v>864</v>
      </c>
      <c r="AH285" s="171" t="s">
        <v>193</v>
      </c>
      <c r="AI285" s="173" t="str">
        <f>CONCATENATE(PAA[[#This Row],[Id Interno]],"-",PAA[[#This Row],[tipo de Contrato (TH talento humano - B/S bienes y/o servicios)]],"-",S285,"-",T285,"-",PAA[[#This Row],[Objeto de la contratación]])</f>
        <v>20260247-BS-8173-4--Proveer el suministro de elementos de bioseguridad e insumos médicos básicos y otros para la atención de emergencias. - SBLG</v>
      </c>
    </row>
    <row r="286" spans="2:35" ht="140" x14ac:dyDescent="0.35">
      <c r="B286" s="23">
        <v>20260248</v>
      </c>
      <c r="C286" s="97" t="s">
        <v>490</v>
      </c>
      <c r="D286" s="23" t="s">
        <v>88</v>
      </c>
      <c r="E286" s="23" t="s">
        <v>402</v>
      </c>
      <c r="F286" s="163" t="s">
        <v>111</v>
      </c>
      <c r="G286" s="164" t="s">
        <v>377</v>
      </c>
      <c r="H286" s="165">
        <v>8</v>
      </c>
      <c r="I286" s="165">
        <v>0</v>
      </c>
      <c r="J286" s="122">
        <v>99000000</v>
      </c>
      <c r="K286" s="88" t="s">
        <v>398</v>
      </c>
      <c r="L286" s="163" t="s">
        <v>157</v>
      </c>
      <c r="M286" s="166" t="s">
        <v>483</v>
      </c>
      <c r="N286" s="23" t="s">
        <v>198</v>
      </c>
      <c r="O286" s="144" t="s">
        <v>887</v>
      </c>
      <c r="P286" s="163" t="s">
        <v>161</v>
      </c>
      <c r="Q286" s="53" t="s">
        <v>491</v>
      </c>
      <c r="R286" s="166" t="s">
        <v>213</v>
      </c>
      <c r="S286" s="166" t="str">
        <f>MID(PAA[[#This Row],[Meta Proyecto de Inversión]],1,4)</f>
        <v>8173</v>
      </c>
      <c r="T286" s="166" t="str">
        <f>MID(PAA[[#This Row],[Meta Proyecto de Inversión]],6,2)</f>
        <v>4-</v>
      </c>
      <c r="U286" s="167" t="str">
        <f>IFERROR(VLOOKUP(N286,TD!$B$54:$F$58,2,0)," ")</f>
        <v>O230117</v>
      </c>
      <c r="V286" s="167" t="str">
        <f>IFERROR(VLOOKUP(N286,TD!$B$54:$F$58,3,0)," ")</f>
        <v>4503</v>
      </c>
      <c r="W286" s="167">
        <f>IFERROR(VLOOKUP(N286,TD!$B$54:$F$58,4,0)," ")</f>
        <v>20240255</v>
      </c>
      <c r="X286" s="166" t="s">
        <v>180</v>
      </c>
      <c r="Y286" s="167" t="str">
        <f>IFERROR(VLOOKUP(X286,TD!$J$55:$K$68,2,0)," ")</f>
        <v>Servicio de apoyo   logístico  en eventos operativos y/o emergencias.</v>
      </c>
      <c r="Z286" s="168" t="str">
        <f>CONCATENATE(X286,"-",Y286)</f>
        <v>12-Servicio de apoyo   logístico  en eventos operativos y/o emergencias.</v>
      </c>
      <c r="AA286" s="166" t="s">
        <v>221</v>
      </c>
      <c r="AB286" s="167" t="str">
        <f>IFERROR(VLOOKUP(AA286,TD!$N$55:$O$70,2,0)," ")</f>
        <v>Servicio de atención a emergencias y desastres</v>
      </c>
      <c r="AC286" s="168" t="str">
        <f>CONCATENATE(AA286,"_",AB286)</f>
        <v>004_Servicio de atención a emergencias y desastres</v>
      </c>
      <c r="AD286" s="168" t="str">
        <f>CONCATENATE(Z286," ",AC286)</f>
        <v>12-Servicio de apoyo   logístico  en eventos operativos y/o emergencias. 004_Servicio de atención a emergencias y desastres</v>
      </c>
      <c r="AE286" s="167" t="str">
        <f>CONCATENATE(U286,V286,W286,X286,AA286)</f>
        <v>O23011745032024025512004</v>
      </c>
      <c r="AF286" s="167" t="str">
        <f>IFERROR(VLOOKUP(AD286,TD!$J$70:$K$93,2,0)," ")</f>
        <v>PM/0131/0112/45030040255</v>
      </c>
      <c r="AG286" s="114" t="s">
        <v>102</v>
      </c>
      <c r="AH286" s="166" t="s">
        <v>193</v>
      </c>
      <c r="AI286" s="169" t="str">
        <f>CONCATENATE(PAA[[#This Row],[Id Interno]],"-",PAA[[#This Row],[tipo de Contrato (TH talento humano - B/S bienes y/o servicios)]],"-",S286,"-",T286,"-",PAA[[#This Row],[Objeto de la contratación]])</f>
        <v>20260248-BS-8173-4--Suministro de alimentación e hidratación para el cuerpo operativo en la atención de emergencias, entrenamientos, capacitaciones y actividades de prevención.-SBLG </v>
      </c>
    </row>
    <row r="287" spans="2:35" ht="84" x14ac:dyDescent="0.35">
      <c r="B287" s="97">
        <v>20260250</v>
      </c>
      <c r="C287" s="97" t="s">
        <v>501</v>
      </c>
      <c r="D287" s="97" t="s">
        <v>105</v>
      </c>
      <c r="E287" s="97" t="s">
        <v>402</v>
      </c>
      <c r="F287" s="164" t="s">
        <v>146</v>
      </c>
      <c r="G287" s="164" t="s">
        <v>379</v>
      </c>
      <c r="H287" s="170">
        <v>8</v>
      </c>
      <c r="I287" s="170">
        <v>0</v>
      </c>
      <c r="J287" s="114">
        <v>80000000</v>
      </c>
      <c r="K287" s="121" t="s">
        <v>398</v>
      </c>
      <c r="L287" s="164" t="s">
        <v>157</v>
      </c>
      <c r="M287" s="171" t="s">
        <v>483</v>
      </c>
      <c r="N287" s="97" t="s">
        <v>198</v>
      </c>
      <c r="O287" s="144" t="s">
        <v>887</v>
      </c>
      <c r="P287" s="164" t="s">
        <v>348</v>
      </c>
      <c r="Q287" s="123" t="s">
        <v>1123</v>
      </c>
      <c r="R287" s="171" t="s">
        <v>213</v>
      </c>
      <c r="S287" s="166" t="str">
        <f>MID(PAA[[#This Row],[Meta Proyecto de Inversión]],1,4)</f>
        <v>8173</v>
      </c>
      <c r="T287" s="166" t="str">
        <f>MID(PAA[[#This Row],[Meta Proyecto de Inversión]],6,2)</f>
        <v>4-</v>
      </c>
      <c r="U287" s="172" t="str">
        <f>IFERROR(VLOOKUP(N287,TD!$B$54:$F$58,2,0)," ")</f>
        <v>O230117</v>
      </c>
      <c r="V287" s="172" t="str">
        <f>IFERROR(VLOOKUP(N287,TD!$B$54:$F$58,3,0)," ")</f>
        <v>4503</v>
      </c>
      <c r="W287" s="172">
        <f>IFERROR(VLOOKUP(N287,TD!$B$54:$F$58,4,0)," ")</f>
        <v>20240255</v>
      </c>
      <c r="X287" s="171" t="s">
        <v>176</v>
      </c>
      <c r="Y287" s="172" t="str">
        <f>IFERROR(VLOOKUP(X287,TD!$J$55:$K$68,2,0)," ")</f>
        <v>Servicio de mantenimiento, dotación (HEA´s y equipo menor) y adquisición de vehiculos   especializados para la atención de emergencias.</v>
      </c>
      <c r="Z287" s="168" t="str">
        <f>CONCATENATE(X287,"-",Y287)</f>
        <v>09-Servicio de mantenimiento, dotación (HEA´s y equipo menor) y adquisición de vehiculos   especializados para la atención de emergencias.</v>
      </c>
      <c r="AA287" s="171" t="s">
        <v>221</v>
      </c>
      <c r="AB287" s="172" t="str">
        <f>IFERROR(VLOOKUP(AA287,TD!$N$55:$O$70,2,0)," ")</f>
        <v>Servicio de atención a emergencias y desastres</v>
      </c>
      <c r="AC287" s="168" t="str">
        <f>CONCATENATE(AA287,"_",AB287)</f>
        <v>004_Servicio de atención a emergencias y desastres</v>
      </c>
      <c r="AD287" s="168" t="str">
        <f>CONCATENATE(Z287," ",AC287)</f>
        <v>09-Servicio de mantenimiento, dotación (HEA´s y equipo menor) y adquisición de vehiculos   especializados para la atención de emergencias. 004_Servicio de atención a emergencias y desastres</v>
      </c>
      <c r="AE287" s="172" t="str">
        <f>CONCATENATE(U287,V287,W287,X287,AA287)</f>
        <v>O23011745032024025509004</v>
      </c>
      <c r="AF287" s="172" t="str">
        <f>IFERROR(VLOOKUP(AD287,TD!$J$70:$K$93,2,0)," ")</f>
        <v>PM/0131/0109/45030040255</v>
      </c>
      <c r="AG287" s="114" t="s">
        <v>548</v>
      </c>
      <c r="AH287" s="171" t="s">
        <v>193</v>
      </c>
      <c r="AI287" s="173" t="str">
        <f>CONCATENATE(PAA[[#This Row],[Id Interno]],"-",PAA[[#This Row],[tipo de Contrato (TH talento humano - B/S bienes y/o servicios)]],"-",S287,"-",T287,"-",PAA[[#This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88" spans="2:35" ht="56" customHeight="1" x14ac:dyDescent="0.35">
      <c r="B288" s="23">
        <v>20260251</v>
      </c>
      <c r="C288" s="97" t="s">
        <v>1362</v>
      </c>
      <c r="D288" s="23" t="s">
        <v>88</v>
      </c>
      <c r="E288" s="23" t="s">
        <v>402</v>
      </c>
      <c r="F288" s="23" t="s">
        <v>89</v>
      </c>
      <c r="G288" s="124" t="s">
        <v>377</v>
      </c>
      <c r="H288" s="131">
        <v>8</v>
      </c>
      <c r="I288" s="131">
        <v>0</v>
      </c>
      <c r="J288" s="122">
        <v>3419000</v>
      </c>
      <c r="K288" s="88" t="s">
        <v>398</v>
      </c>
      <c r="L288" s="254" t="s">
        <v>157</v>
      </c>
      <c r="M288" s="255" t="s">
        <v>483</v>
      </c>
      <c r="N288" s="23" t="s">
        <v>198</v>
      </c>
      <c r="O288" s="255" t="s">
        <v>887</v>
      </c>
      <c r="P288" s="255" t="s">
        <v>161</v>
      </c>
      <c r="Q288" s="53" t="s">
        <v>1363</v>
      </c>
      <c r="R288" s="255" t="s">
        <v>213</v>
      </c>
      <c r="S288" s="255" t="str">
        <f>MID(PAA[[#This Row],[Meta Proyecto de Inversión]],1,4)</f>
        <v>8173</v>
      </c>
      <c r="T288" s="255" t="str">
        <f>MID(PAA[[#This Row],[Meta Proyecto de Inversión]],6,2)</f>
        <v>4-</v>
      </c>
      <c r="U288" s="256" t="str">
        <f>IFERROR(VLOOKUP(N288,TD!$B$54:$F$58,2,0)," ")</f>
        <v>O230117</v>
      </c>
      <c r="V288" s="256" t="str">
        <f>IFERROR(VLOOKUP(N288,TD!$B$54:$F$58,3,0)," ")</f>
        <v>4503</v>
      </c>
      <c r="W288" s="256">
        <f>IFERROR(VLOOKUP(N288,TD!$B$54:$F$58,4,0)," ")</f>
        <v>20240255</v>
      </c>
      <c r="X288" s="255" t="s">
        <v>176</v>
      </c>
      <c r="Y288" s="253" t="str">
        <f>IFERROR(VLOOKUP(X288,TD!$J$55:$K$68,2,0)," ")</f>
        <v>Servicio de mantenimiento, dotación (HEA´s y equipo menor) y adquisición de vehiculos   especializados para la atención de emergencias.</v>
      </c>
      <c r="Z288" s="257" t="str">
        <f>CONCATENATE(X288,"-",Y288)</f>
        <v>09-Servicio de mantenimiento, dotación (HEA´s y equipo menor) y adquisición de vehiculos   especializados para la atención de emergencias.</v>
      </c>
      <c r="AA288" s="255" t="s">
        <v>221</v>
      </c>
      <c r="AB288" s="253" t="str">
        <f>IFERROR(VLOOKUP(AA288,TD!$N$55:$O$70,2,0)," ")</f>
        <v>Servicio de atención a emergencias y desastres</v>
      </c>
      <c r="AC288" s="257" t="str">
        <f>CONCATENATE(AA288,"_",AB288)</f>
        <v>004_Servicio de atención a emergencias y desastres</v>
      </c>
      <c r="AD288" s="257" t="str">
        <f>CONCATENATE(Z288," ",AC288)</f>
        <v>09-Servicio de mantenimiento, dotación (HEA´s y equipo menor) y adquisición de vehiculos   especializados para la atención de emergencias. 004_Servicio de atención a emergencias y desastres</v>
      </c>
      <c r="AE288" s="256" t="str">
        <f>CONCATENATE(U288,V288,W288,X288,AA288)</f>
        <v>O23011745032024025509004</v>
      </c>
      <c r="AF288" s="253" t="str">
        <f>IFERROR(VLOOKUP(AD288,TD!$J$70:$K$93,2,0)," ")</f>
        <v>PM/0131/0109/45030040255</v>
      </c>
      <c r="AG288" s="114" t="s">
        <v>80</v>
      </c>
      <c r="AH288" s="255" t="s">
        <v>193</v>
      </c>
      <c r="AI288" s="258" t="str">
        <f>CONCATENATE(PAA[[#This Row],[Id Interno]],"-",PAA[[#This Row],[tipo de Contrato (TH talento humano - B/S bienes y/o servicios)]],"-",S288,"-",T288,"-",PAA[[#This Row],[Objeto de la contratación]])</f>
        <v>20260251-BS-8173-4--Prestar el servicio de  mantenimiento y recarga de extintores, cilindros y tanques de las maquinas extintoras de la UAECOB.  - SBLG</v>
      </c>
    </row>
    <row r="289" spans="2:35" ht="56" customHeight="1" x14ac:dyDescent="0.35">
      <c r="B289" s="97">
        <v>20260252</v>
      </c>
      <c r="C289" s="97" t="s">
        <v>1205</v>
      </c>
      <c r="D289" s="97" t="s">
        <v>105</v>
      </c>
      <c r="E289" s="97" t="s">
        <v>402</v>
      </c>
      <c r="F289" s="164" t="s">
        <v>89</v>
      </c>
      <c r="G289" s="164" t="s">
        <v>380</v>
      </c>
      <c r="H289" s="170">
        <v>8</v>
      </c>
      <c r="I289" s="170">
        <v>0</v>
      </c>
      <c r="J289" s="114">
        <v>40000000</v>
      </c>
      <c r="K289" s="121" t="s">
        <v>398</v>
      </c>
      <c r="L289" s="164" t="s">
        <v>157</v>
      </c>
      <c r="M289" s="171" t="s">
        <v>483</v>
      </c>
      <c r="N289" s="97" t="s">
        <v>198</v>
      </c>
      <c r="O289" s="144" t="s">
        <v>887</v>
      </c>
      <c r="P289" s="164" t="s">
        <v>348</v>
      </c>
      <c r="Q289" s="123" t="s">
        <v>487</v>
      </c>
      <c r="R289" s="171" t="s">
        <v>213</v>
      </c>
      <c r="S289" s="166" t="str">
        <f>MID(PAA[[#This Row],[Meta Proyecto de Inversión]],1,4)</f>
        <v>8173</v>
      </c>
      <c r="T289" s="166" t="str">
        <f>MID(PAA[[#This Row],[Meta Proyecto de Inversión]],6,2)</f>
        <v>4-</v>
      </c>
      <c r="U289" s="172" t="str">
        <f>IFERROR(VLOOKUP(N289,TD!$B$54:$F$58,2,0)," ")</f>
        <v>O230117</v>
      </c>
      <c r="V289" s="172" t="str">
        <f>IFERROR(VLOOKUP(N289,TD!$B$54:$F$58,3,0)," ")</f>
        <v>4503</v>
      </c>
      <c r="W289" s="172">
        <f>IFERROR(VLOOKUP(N289,TD!$B$54:$F$58,4,0)," ")</f>
        <v>20240255</v>
      </c>
      <c r="X289" s="171" t="s">
        <v>176</v>
      </c>
      <c r="Y289" s="172" t="str">
        <f>IFERROR(VLOOKUP(X289,TD!$J$55:$K$68,2,0)," ")</f>
        <v>Servicio de mantenimiento, dotación (HEA´s y equipo menor) y adquisición de vehiculos   especializados para la atención de emergencias.</v>
      </c>
      <c r="Z289" s="168" t="str">
        <f>CONCATENATE(X289,"-",Y289)</f>
        <v>09-Servicio de mantenimiento, dotación (HEA´s y equipo menor) y adquisición de vehiculos   especializados para la atención de emergencias.</v>
      </c>
      <c r="AA289" s="171" t="s">
        <v>221</v>
      </c>
      <c r="AB289" s="172" t="str">
        <f>IFERROR(VLOOKUP(AA289,TD!$N$55:$O$70,2,0)," ")</f>
        <v>Servicio de atención a emergencias y desastres</v>
      </c>
      <c r="AC289" s="168" t="str">
        <f>CONCATENATE(AA289,"_",AB289)</f>
        <v>004_Servicio de atención a emergencias y desastres</v>
      </c>
      <c r="AD289" s="168" t="str">
        <f>CONCATENATE(Z289," ",AC289)</f>
        <v>09-Servicio de mantenimiento, dotación (HEA´s y equipo menor) y adquisición de vehiculos   especializados para la atención de emergencias. 004_Servicio de atención a emergencias y desastres</v>
      </c>
      <c r="AE289" s="172" t="str">
        <f>CONCATENATE(U289,V289,W289,X289,AA289)</f>
        <v>O23011745032024025509004</v>
      </c>
      <c r="AF289" s="172" t="str">
        <f>IFERROR(VLOOKUP(AD289,TD!$J$70:$K$93,2,0)," ")</f>
        <v>PM/0131/0109/45030040255</v>
      </c>
      <c r="AG289" s="114" t="s">
        <v>80</v>
      </c>
      <c r="AH289" s="171" t="s">
        <v>194</v>
      </c>
      <c r="AI289" s="173" t="str">
        <f>CONCATENATE(PAA[[#This Row],[Id Interno]],"-",PAA[[#This Row],[tipo de Contrato (TH talento humano - B/S bienes y/o servicios)]],"-",S289,"-",T289,"-",PAA[[#This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290" spans="2:35" ht="84" x14ac:dyDescent="0.35">
      <c r="B290" s="97">
        <v>20260253</v>
      </c>
      <c r="C290" s="97" t="s">
        <v>494</v>
      </c>
      <c r="D290" s="97" t="s">
        <v>105</v>
      </c>
      <c r="E290" s="97" t="s">
        <v>402</v>
      </c>
      <c r="F290" s="164" t="s">
        <v>111</v>
      </c>
      <c r="G290" s="164" t="s">
        <v>381</v>
      </c>
      <c r="H290" s="170">
        <v>5</v>
      </c>
      <c r="I290" s="170">
        <v>0</v>
      </c>
      <c r="J290" s="114">
        <v>0</v>
      </c>
      <c r="K290" s="121" t="s">
        <v>398</v>
      </c>
      <c r="L290" s="164" t="s">
        <v>157</v>
      </c>
      <c r="M290" s="171" t="s">
        <v>483</v>
      </c>
      <c r="N290" s="97" t="s">
        <v>198</v>
      </c>
      <c r="O290" s="144" t="s">
        <v>887</v>
      </c>
      <c r="P290" s="164" t="s">
        <v>348</v>
      </c>
      <c r="Q290" s="123" t="s">
        <v>495</v>
      </c>
      <c r="R290" s="171" t="s">
        <v>213</v>
      </c>
      <c r="S290" s="166" t="str">
        <f>MID(PAA[[#This Row],[Meta Proyecto de Inversión]],1,4)</f>
        <v>8173</v>
      </c>
      <c r="T290" s="166" t="str">
        <f>MID(PAA[[#This Row],[Meta Proyecto de Inversión]],6,2)</f>
        <v>4-</v>
      </c>
      <c r="U290" s="172" t="str">
        <f>IFERROR(VLOOKUP(N290,TD!$B$54:$F$58,2,0)," ")</f>
        <v>O230117</v>
      </c>
      <c r="V290" s="172" t="str">
        <f>IFERROR(VLOOKUP(N290,TD!$B$54:$F$58,3,0)," ")</f>
        <v>4503</v>
      </c>
      <c r="W290" s="172">
        <f>IFERROR(VLOOKUP(N290,TD!$B$54:$F$58,4,0)," ")</f>
        <v>20240255</v>
      </c>
      <c r="X290" s="171" t="s">
        <v>176</v>
      </c>
      <c r="Y290" s="172" t="str">
        <f>IFERROR(VLOOKUP(X290,TD!$J$55:$K$68,2,0)," ")</f>
        <v>Servicio de mantenimiento, dotación (HEA´s y equipo menor) y adquisición de vehiculos   especializados para la atención de emergencias.</v>
      </c>
      <c r="Z290" s="168" t="str">
        <f>CONCATENATE(X290,"-",Y290)</f>
        <v>09-Servicio de mantenimiento, dotación (HEA´s y equipo menor) y adquisición de vehiculos   especializados para la atención de emergencias.</v>
      </c>
      <c r="AA290" s="171" t="s">
        <v>221</v>
      </c>
      <c r="AB290" s="172" t="str">
        <f>IFERROR(VLOOKUP(AA290,TD!$N$55:$O$70,2,0)," ")</f>
        <v>Servicio de atención a emergencias y desastres</v>
      </c>
      <c r="AC290" s="168" t="str">
        <f>CONCATENATE(AA290,"_",AB290)</f>
        <v>004_Servicio de atención a emergencias y desastres</v>
      </c>
      <c r="AD290" s="168" t="str">
        <f>CONCATENATE(Z290," ",AC290)</f>
        <v>09-Servicio de mantenimiento, dotación (HEA´s y equipo menor) y adquisición de vehiculos   especializados para la atención de emergencias. 004_Servicio de atención a emergencias y desastres</v>
      </c>
      <c r="AE290" s="172" t="str">
        <f>CONCATENATE(U290,V290,W290,X290,AA290)</f>
        <v>O23011745032024025509004</v>
      </c>
      <c r="AF290" s="172" t="str">
        <f>IFERROR(VLOOKUP(AD290,TD!$J$70:$K$93,2,0)," ")</f>
        <v>PM/0131/0109/45030040255</v>
      </c>
      <c r="AG290" s="114" t="s">
        <v>80</v>
      </c>
      <c r="AH290" s="171" t="s">
        <v>193</v>
      </c>
      <c r="AI290" s="173" t="str">
        <f>CONCATENATE(PAA[[#This Row],[Id Interno]],"-",PAA[[#This Row],[tipo de Contrato (TH talento humano - B/S bienes y/o servicios)]],"-",S290,"-",T290,"-",PAA[[#This Row],[Objeto de la contratación]])</f>
        <v>20260253-BS-8173-4--Suministrar los repuestos, accesorios e insumos de los equipos de rescate vehicular liviano y pesado marca LUKAS-  SBLG</v>
      </c>
    </row>
    <row r="291" spans="2:35" ht="112" x14ac:dyDescent="0.35">
      <c r="B291" s="97">
        <v>20260254</v>
      </c>
      <c r="C291" s="97" t="s">
        <v>1236</v>
      </c>
      <c r="D291" s="97" t="s">
        <v>105</v>
      </c>
      <c r="E291" s="97" t="s">
        <v>402</v>
      </c>
      <c r="F291" s="164" t="s">
        <v>146</v>
      </c>
      <c r="G291" s="164" t="s">
        <v>381</v>
      </c>
      <c r="H291" s="170">
        <v>6</v>
      </c>
      <c r="I291" s="170">
        <v>0</v>
      </c>
      <c r="J291" s="114">
        <v>48000000</v>
      </c>
      <c r="K291" s="121" t="s">
        <v>398</v>
      </c>
      <c r="L291" s="164" t="s">
        <v>157</v>
      </c>
      <c r="M291" s="171" t="s">
        <v>483</v>
      </c>
      <c r="N291" s="97" t="s">
        <v>198</v>
      </c>
      <c r="O291" s="144" t="s">
        <v>887</v>
      </c>
      <c r="P291" s="164" t="s">
        <v>348</v>
      </c>
      <c r="Q291" s="123" t="s">
        <v>496</v>
      </c>
      <c r="R291" s="171" t="s">
        <v>213</v>
      </c>
      <c r="S291" s="166" t="str">
        <f>MID(PAA[[#This Row],[Meta Proyecto de Inversión]],1,4)</f>
        <v>8173</v>
      </c>
      <c r="T291" s="166" t="str">
        <f>MID(PAA[[#This Row],[Meta Proyecto de Inversión]],6,2)</f>
        <v>4-</v>
      </c>
      <c r="U291" s="172" t="str">
        <f>IFERROR(VLOOKUP(N291,TD!$B$54:$F$58,2,0)," ")</f>
        <v>O230117</v>
      </c>
      <c r="V291" s="172" t="str">
        <f>IFERROR(VLOOKUP(N291,TD!$B$54:$F$58,3,0)," ")</f>
        <v>4503</v>
      </c>
      <c r="W291" s="172">
        <f>IFERROR(VLOOKUP(N291,TD!$B$54:$F$58,4,0)," ")</f>
        <v>20240255</v>
      </c>
      <c r="X291" s="171" t="s">
        <v>176</v>
      </c>
      <c r="Y291" s="172" t="str">
        <f>IFERROR(VLOOKUP(X291,TD!$J$55:$K$68,2,0)," ")</f>
        <v>Servicio de mantenimiento, dotación (HEA´s y equipo menor) y adquisición de vehiculos   especializados para la atención de emergencias.</v>
      </c>
      <c r="Z291" s="168" t="str">
        <f>CONCATENATE(X291,"-",Y291)</f>
        <v>09-Servicio de mantenimiento, dotación (HEA´s y equipo menor) y adquisición de vehiculos   especializados para la atención de emergencias.</v>
      </c>
      <c r="AA291" s="171" t="s">
        <v>221</v>
      </c>
      <c r="AB291" s="172" t="str">
        <f>IFERROR(VLOOKUP(AA291,TD!$N$55:$O$70,2,0)," ")</f>
        <v>Servicio de atención a emergencias y desastres</v>
      </c>
      <c r="AC291" s="168" t="str">
        <f>CONCATENATE(AA291,"_",AB291)</f>
        <v>004_Servicio de atención a emergencias y desastres</v>
      </c>
      <c r="AD291" s="168" t="str">
        <f>CONCATENATE(Z291," ",AC291)</f>
        <v>09-Servicio de mantenimiento, dotación (HEA´s y equipo menor) y adquisición de vehiculos   especializados para la atención de emergencias. 004_Servicio de atención a emergencias y desastres</v>
      </c>
      <c r="AE291" s="172" t="str">
        <f>CONCATENATE(U291,V291,W291,X291,AA291)</f>
        <v>O23011745032024025509004</v>
      </c>
      <c r="AF291" s="172" t="str">
        <f>IFERROR(VLOOKUP(AD291,TD!$J$70:$K$93,2,0)," ")</f>
        <v>PM/0131/0109/45030040255</v>
      </c>
      <c r="AG291" s="114" t="s">
        <v>80</v>
      </c>
      <c r="AH291" s="171" t="s">
        <v>194</v>
      </c>
      <c r="AI291" s="173" t="str">
        <f>CONCATENATE(PAA[[#This Row],[Id Interno]],"-",PAA[[#This Row],[tipo de Contrato (TH talento humano - B/S bienes y/o servicios)]],"-",S291,"-",T291,"-",PAA[[#This Row],[Objeto de la contratación]])</f>
        <v>20260254-BS-8173-4--Adicion y Prorroga contrato 532-2025 cuyo objeto es: "Prestar el servicio de mantenimiento preventivo y correctivo, incluido el suministro de repuestos e insumos y mano de obra especializada para los equipos detectores de atmosfera y respiración autónoma marca Dräger, propiedad de la U.A.E. Cuerpo Oficial de Bomberos de Bogotá -  - SBLG"</v>
      </c>
    </row>
    <row r="292" spans="2:35" ht="84" x14ac:dyDescent="0.35">
      <c r="B292" s="97">
        <v>20260256</v>
      </c>
      <c r="C292" s="97" t="s">
        <v>499</v>
      </c>
      <c r="D292" s="97" t="s">
        <v>105</v>
      </c>
      <c r="E292" s="97" t="s">
        <v>402</v>
      </c>
      <c r="F292" s="164" t="s">
        <v>89</v>
      </c>
      <c r="G292" s="164" t="s">
        <v>380</v>
      </c>
      <c r="H292" s="170">
        <v>5</v>
      </c>
      <c r="I292" s="170">
        <v>0</v>
      </c>
      <c r="J292" s="114">
        <v>50000000</v>
      </c>
      <c r="K292" s="121" t="s">
        <v>398</v>
      </c>
      <c r="L292" s="164" t="s">
        <v>157</v>
      </c>
      <c r="M292" s="171" t="s">
        <v>483</v>
      </c>
      <c r="N292" s="97" t="s">
        <v>198</v>
      </c>
      <c r="O292" s="144" t="s">
        <v>887</v>
      </c>
      <c r="P292" s="164" t="s">
        <v>348</v>
      </c>
      <c r="Q292" s="123" t="s">
        <v>500</v>
      </c>
      <c r="R292" s="171" t="s">
        <v>213</v>
      </c>
      <c r="S292" s="166" t="str">
        <f>MID(PAA[[#This Row],[Meta Proyecto de Inversión]],1,4)</f>
        <v>8173</v>
      </c>
      <c r="T292" s="166" t="str">
        <f>MID(PAA[[#This Row],[Meta Proyecto de Inversión]],6,2)</f>
        <v>4-</v>
      </c>
      <c r="U292" s="172" t="str">
        <f>IFERROR(VLOOKUP(N292,TD!$B$54:$F$58,2,0)," ")</f>
        <v>O230117</v>
      </c>
      <c r="V292" s="172" t="str">
        <f>IFERROR(VLOOKUP(N292,TD!$B$54:$F$58,3,0)," ")</f>
        <v>4503</v>
      </c>
      <c r="W292" s="172">
        <f>IFERROR(VLOOKUP(N292,TD!$B$54:$F$58,4,0)," ")</f>
        <v>20240255</v>
      </c>
      <c r="X292" s="171" t="s">
        <v>176</v>
      </c>
      <c r="Y292" s="172" t="str">
        <f>IFERROR(VLOOKUP(X292,TD!$J$55:$K$68,2,0)," ")</f>
        <v>Servicio de mantenimiento, dotación (HEA´s y equipo menor) y adquisición de vehiculos   especializados para la atención de emergencias.</v>
      </c>
      <c r="Z292" s="168" t="str">
        <f>CONCATENATE(X292,"-",Y292)</f>
        <v>09-Servicio de mantenimiento, dotación (HEA´s y equipo menor) y adquisición de vehiculos   especializados para la atención de emergencias.</v>
      </c>
      <c r="AA292" s="171" t="s">
        <v>221</v>
      </c>
      <c r="AB292" s="172" t="str">
        <f>IFERROR(VLOOKUP(AA292,TD!$N$55:$O$70,2,0)," ")</f>
        <v>Servicio de atención a emergencias y desastres</v>
      </c>
      <c r="AC292" s="168" t="str">
        <f>CONCATENATE(AA292,"_",AB292)</f>
        <v>004_Servicio de atención a emergencias y desastres</v>
      </c>
      <c r="AD292" s="168" t="str">
        <f>CONCATENATE(Z292," ",AC292)</f>
        <v>09-Servicio de mantenimiento, dotación (HEA´s y equipo menor) y adquisición de vehiculos   especializados para la atención de emergencias. 004_Servicio de atención a emergencias y desastres</v>
      </c>
      <c r="AE292" s="172" t="str">
        <f>CONCATENATE(U292,V292,W292,X292,AA292)</f>
        <v>O23011745032024025509004</v>
      </c>
      <c r="AF292" s="172" t="str">
        <f>IFERROR(VLOOKUP(AD292,TD!$J$70:$K$93,2,0)," ")</f>
        <v>PM/0131/0109/45030040255</v>
      </c>
      <c r="AG292" s="114" t="s">
        <v>80</v>
      </c>
      <c r="AH292" s="171" t="s">
        <v>193</v>
      </c>
      <c r="AI292" s="173" t="str">
        <f>CONCATENATE(PAA[[#This Row],[Id Interno]],"-",PAA[[#This Row],[tipo de Contrato (TH talento humano - B/S bienes y/o servicios)]],"-",S292,"-",T292,"-",PAA[[#This Row],[Objeto de la contratación]])</f>
        <v>20260256-BS-8173-4--Prestar el servicio de mantenimiento preventivo y correctivo de los Equipos de Rescate Vehicular HOLMATRO propiedad de la UAECOB, incluido el suministro de repuestos, insumos y mano de obra especializada -  SBLG</v>
      </c>
    </row>
    <row r="293" spans="2:35" ht="56" x14ac:dyDescent="0.35">
      <c r="B293" s="23">
        <v>20260257</v>
      </c>
      <c r="C293" s="97" t="s">
        <v>626</v>
      </c>
      <c r="D293" s="23" t="s">
        <v>92</v>
      </c>
      <c r="E293" s="23" t="s">
        <v>402</v>
      </c>
      <c r="F293" s="163" t="s">
        <v>89</v>
      </c>
      <c r="G293" s="164" t="s">
        <v>377</v>
      </c>
      <c r="H293" s="165">
        <v>12</v>
      </c>
      <c r="I293" s="165">
        <v>0</v>
      </c>
      <c r="J293" s="122">
        <v>47720273</v>
      </c>
      <c r="K293" s="88" t="s">
        <v>398</v>
      </c>
      <c r="L293" s="163" t="s">
        <v>157</v>
      </c>
      <c r="M293" s="166" t="s">
        <v>483</v>
      </c>
      <c r="N293" s="23" t="s">
        <v>330</v>
      </c>
      <c r="O293" s="144" t="s">
        <v>886</v>
      </c>
      <c r="P293" s="163" t="s">
        <v>161</v>
      </c>
      <c r="Q293" s="53">
        <v>78181505</v>
      </c>
      <c r="R293" s="166" t="s">
        <v>331</v>
      </c>
      <c r="S293" s="166" t="str">
        <f>MID(PAA[[#This Row],[Meta Proyecto de Inversión]],1,4)</f>
        <v>No a</v>
      </c>
      <c r="T293" s="166" t="str">
        <f>MID(PAA[[#This Row],[Meta Proyecto de Inversión]],6,2)</f>
        <v>li</v>
      </c>
      <c r="U293" s="167" t="str">
        <f>IFERROR(VLOOKUP(N293,TD!$B$54:$F$58,2,0)," ")</f>
        <v>NA</v>
      </c>
      <c r="V293" s="167" t="str">
        <f>IFERROR(VLOOKUP(N293,TD!$B$54:$F$58,3,0)," ")</f>
        <v>NA</v>
      </c>
      <c r="W293" s="167" t="str">
        <f>IFERROR(VLOOKUP(N293,TD!$B$54:$F$58,4,0)," ")</f>
        <v>NA</v>
      </c>
      <c r="X293" s="166" t="s">
        <v>335</v>
      </c>
      <c r="Y293" s="167" t="str">
        <f>IFERROR(VLOOKUP(X293,TD!$J$55:$K$68,2,0)," ")</f>
        <v>N/A</v>
      </c>
      <c r="Z293" s="168" t="str">
        <f>CONCATENATE(X293,"-",Y293)</f>
        <v>N/A-N/A</v>
      </c>
      <c r="AA293" s="171" t="s">
        <v>335</v>
      </c>
      <c r="AB293" s="167" t="str">
        <f>IFERROR(VLOOKUP(AA293,TD!$N$55:$O$70,2,0)," ")</f>
        <v>N/A</v>
      </c>
      <c r="AC293" s="168" t="str">
        <f>CONCATENATE(AA293,"_",AB293)</f>
        <v>N/A_N/A</v>
      </c>
      <c r="AD293" s="168" t="str">
        <f>CONCATENATE(Z293," ",AC293)</f>
        <v>N/A-N/A N/A_N/A</v>
      </c>
      <c r="AE293" s="167" t="str">
        <f>CONCATENATE(U293,V293,W293,X293,AA293)</f>
        <v>NANANAN/AN/A</v>
      </c>
      <c r="AF293" s="167" t="str">
        <f>IFERROR(VLOOKUP(AD293,TD!$J$70:$K$93,2,0)," ")</f>
        <v>N/A</v>
      </c>
      <c r="AG293" s="114" t="s">
        <v>332</v>
      </c>
      <c r="AH293" s="166" t="s">
        <v>193</v>
      </c>
      <c r="AI293" s="169" t="str">
        <f>CONCATENATE(PAA[[#This Row],[Id Interno]],"-",PAA[[#This Row],[tipo de Contrato (TH talento humano - B/S bienes y/o servicios)]],"-",S293,"-",T293,"-",PAA[[#This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294" spans="2:35" ht="56" x14ac:dyDescent="0.35">
      <c r="B294" s="23">
        <v>20260258</v>
      </c>
      <c r="C294" s="97" t="s">
        <v>812</v>
      </c>
      <c r="D294" s="97" t="s">
        <v>105</v>
      </c>
      <c r="E294" s="97" t="s">
        <v>363</v>
      </c>
      <c r="F294" s="164" t="s">
        <v>145</v>
      </c>
      <c r="G294" s="164" t="s">
        <v>373</v>
      </c>
      <c r="H294" s="170">
        <v>10</v>
      </c>
      <c r="I294" s="170">
        <v>0</v>
      </c>
      <c r="J294" s="114">
        <v>31000000</v>
      </c>
      <c r="K294" s="121" t="s">
        <v>398</v>
      </c>
      <c r="L294" s="164" t="s">
        <v>158</v>
      </c>
      <c r="M294" s="171" t="s">
        <v>421</v>
      </c>
      <c r="N294" s="97" t="s">
        <v>198</v>
      </c>
      <c r="O294" s="144" t="s">
        <v>887</v>
      </c>
      <c r="P294" s="164" t="s">
        <v>348</v>
      </c>
      <c r="Q294" s="123">
        <v>80111600</v>
      </c>
      <c r="R294" s="171" t="s">
        <v>211</v>
      </c>
      <c r="S294" s="166" t="str">
        <f>MID(PAA[[#This Row],[Meta Proyecto de Inversión]],1,4)</f>
        <v>8173</v>
      </c>
      <c r="T294" s="166" t="str">
        <f>MID(PAA[[#This Row],[Meta Proyecto de Inversión]],6,2)</f>
        <v>2-</v>
      </c>
      <c r="U294" s="167" t="str">
        <f>IFERROR(VLOOKUP(N294,TD!$B$54:$F$58,2,0)," ")</f>
        <v>O230117</v>
      </c>
      <c r="V294" s="167" t="str">
        <f>IFERROR(VLOOKUP(N294,TD!$B$54:$F$58,3,0)," ")</f>
        <v>4503</v>
      </c>
      <c r="W294" s="167">
        <f>IFERROR(VLOOKUP(N294,TD!$B$54:$F$58,4,0)," ")</f>
        <v>20240255</v>
      </c>
      <c r="X294" s="166" t="s">
        <v>164</v>
      </c>
      <c r="Y294" s="167" t="str">
        <f>IFERROR(VLOOKUP(X294,TD!$J$55:$K$68,2,0)," ")</f>
        <v>Servicio de atención a incidentes y emergencias.</v>
      </c>
      <c r="Z294" s="168" t="str">
        <f>CONCATENATE(X294,"-",Y294)</f>
        <v>04-Servicio de atención a incidentes y emergencias.</v>
      </c>
      <c r="AA294" s="171" t="s">
        <v>221</v>
      </c>
      <c r="AB294" s="167" t="str">
        <f>IFERROR(VLOOKUP(AA294,TD!$N$55:$O$70,2,0)," ")</f>
        <v>Servicio de atención a emergencias y desastres</v>
      </c>
      <c r="AC294" s="168" t="str">
        <f>CONCATENATE(AA294,"_",AB294)</f>
        <v>004_Servicio de atención a emergencias y desastres</v>
      </c>
      <c r="AD294" s="168" t="str">
        <f>CONCATENATE(Z294," ",AC294)</f>
        <v>04-Servicio de atención a incidentes y emergencias. 004_Servicio de atención a emergencias y desastres</v>
      </c>
      <c r="AE294" s="167" t="str">
        <f>CONCATENATE(U294,V294,W294,X294,AA294)</f>
        <v>O23011745032024025504004</v>
      </c>
      <c r="AF294" s="167" t="str">
        <f>IFERROR(VLOOKUP(AD294,TD!$J$70:$K$93,2,0)," ")</f>
        <v>PM/0131/0104/45030040255</v>
      </c>
      <c r="AG294" s="114" t="s">
        <v>385</v>
      </c>
      <c r="AH294" s="166" t="s">
        <v>193</v>
      </c>
      <c r="AI294" s="169" t="str">
        <f>CONCATENATE(PAA[[#This Row],[Id Interno]],"-",PAA[[#This Row],[tipo de Contrato (TH talento humano - B/S bienes y/o servicios)]],"-",S294,"-",T294,"-",PAA[[#This Row],[Objeto de la contratación]])</f>
        <v>20260258-TH-8173-2--Prestación de servicios de apoyo al proceso de comunicaciones en emergencias del centro de coordinación y comunicaciones (c.c.c.), para el desarrollo de los programas a cargo de la Subdirección Operativa-S.O.</v>
      </c>
    </row>
    <row r="295" spans="2:35" ht="56" x14ac:dyDescent="0.35">
      <c r="B295" s="23">
        <v>20260259</v>
      </c>
      <c r="C295" s="97" t="s">
        <v>812</v>
      </c>
      <c r="D295" s="97" t="s">
        <v>105</v>
      </c>
      <c r="E295" s="97" t="s">
        <v>363</v>
      </c>
      <c r="F295" s="164" t="s">
        <v>145</v>
      </c>
      <c r="G295" s="164" t="s">
        <v>373</v>
      </c>
      <c r="H295" s="170">
        <v>10</v>
      </c>
      <c r="I295" s="170">
        <v>0</v>
      </c>
      <c r="J295" s="114">
        <v>31000000</v>
      </c>
      <c r="K295" s="121" t="s">
        <v>398</v>
      </c>
      <c r="L295" s="164" t="s">
        <v>158</v>
      </c>
      <c r="M295" s="171" t="s">
        <v>421</v>
      </c>
      <c r="N295" s="97" t="s">
        <v>198</v>
      </c>
      <c r="O295" s="144" t="s">
        <v>887</v>
      </c>
      <c r="P295" s="164" t="s">
        <v>348</v>
      </c>
      <c r="Q295" s="123">
        <v>80111600</v>
      </c>
      <c r="R295" s="171" t="s">
        <v>211</v>
      </c>
      <c r="S295" s="166" t="str">
        <f>MID(PAA[[#This Row],[Meta Proyecto de Inversión]],1,4)</f>
        <v>8173</v>
      </c>
      <c r="T295" s="166" t="str">
        <f>MID(PAA[[#This Row],[Meta Proyecto de Inversión]],6,2)</f>
        <v>2-</v>
      </c>
      <c r="U295" s="167" t="str">
        <f>IFERROR(VLOOKUP(N295,TD!$B$54:$F$58,2,0)," ")</f>
        <v>O230117</v>
      </c>
      <c r="V295" s="167" t="str">
        <f>IFERROR(VLOOKUP(N295,TD!$B$54:$F$58,3,0)," ")</f>
        <v>4503</v>
      </c>
      <c r="W295" s="167">
        <f>IFERROR(VLOOKUP(N295,TD!$B$54:$F$58,4,0)," ")</f>
        <v>20240255</v>
      </c>
      <c r="X295" s="166" t="s">
        <v>164</v>
      </c>
      <c r="Y295" s="167" t="str">
        <f>IFERROR(VLOOKUP(X295,TD!$J$55:$K$68,2,0)," ")</f>
        <v>Servicio de atención a incidentes y emergencias.</v>
      </c>
      <c r="Z295" s="168" t="str">
        <f>CONCATENATE(X295,"-",Y295)</f>
        <v>04-Servicio de atención a incidentes y emergencias.</v>
      </c>
      <c r="AA295" s="171" t="s">
        <v>221</v>
      </c>
      <c r="AB295" s="167" t="str">
        <f>IFERROR(VLOOKUP(AA295,TD!$N$55:$O$70,2,0)," ")</f>
        <v>Servicio de atención a emergencias y desastres</v>
      </c>
      <c r="AC295" s="168" t="str">
        <f>CONCATENATE(AA295,"_",AB295)</f>
        <v>004_Servicio de atención a emergencias y desastres</v>
      </c>
      <c r="AD295" s="168" t="str">
        <f>CONCATENATE(Z295," ",AC295)</f>
        <v>04-Servicio de atención a incidentes y emergencias. 004_Servicio de atención a emergencias y desastres</v>
      </c>
      <c r="AE295" s="167" t="str">
        <f>CONCATENATE(U295,V295,W295,X295,AA295)</f>
        <v>O23011745032024025504004</v>
      </c>
      <c r="AF295" s="167" t="str">
        <f>IFERROR(VLOOKUP(AD295,TD!$J$70:$K$93,2,0)," ")</f>
        <v>PM/0131/0104/45030040255</v>
      </c>
      <c r="AG295" s="114" t="s">
        <v>385</v>
      </c>
      <c r="AH295" s="166" t="s">
        <v>193</v>
      </c>
      <c r="AI295" s="169" t="str">
        <f>CONCATENATE(PAA[[#This Row],[Id Interno]],"-",PAA[[#This Row],[tipo de Contrato (TH talento humano - B/S bienes y/o servicios)]],"-",S295,"-",T295,"-",PAA[[#This Row],[Objeto de la contratación]])</f>
        <v>20260259-TH-8173-2--Prestación de servicios de apoyo al proceso de comunicaciones en emergencias del centro de coordinación y comunicaciones (c.c.c.), para el desarrollo de los programas a cargo de la Subdirección Operativa-S.O.</v>
      </c>
    </row>
    <row r="296" spans="2:35" ht="84" customHeight="1" x14ac:dyDescent="0.35">
      <c r="B296" s="23">
        <v>20260260</v>
      </c>
      <c r="C296" s="97" t="s">
        <v>812</v>
      </c>
      <c r="D296" s="97" t="s">
        <v>105</v>
      </c>
      <c r="E296" s="97" t="s">
        <v>363</v>
      </c>
      <c r="F296" s="164" t="s">
        <v>145</v>
      </c>
      <c r="G296" s="164" t="s">
        <v>373</v>
      </c>
      <c r="H296" s="170">
        <v>10</v>
      </c>
      <c r="I296" s="170">
        <v>0</v>
      </c>
      <c r="J296" s="114">
        <v>31000000</v>
      </c>
      <c r="K296" s="121" t="s">
        <v>398</v>
      </c>
      <c r="L296" s="164" t="s">
        <v>158</v>
      </c>
      <c r="M296" s="171" t="s">
        <v>421</v>
      </c>
      <c r="N296" s="97" t="s">
        <v>198</v>
      </c>
      <c r="O296" s="144" t="s">
        <v>887</v>
      </c>
      <c r="P296" s="164" t="s">
        <v>348</v>
      </c>
      <c r="Q296" s="123">
        <v>80111600</v>
      </c>
      <c r="R296" s="171" t="s">
        <v>211</v>
      </c>
      <c r="S296" s="166" t="str">
        <f>MID(PAA[[#This Row],[Meta Proyecto de Inversión]],1,4)</f>
        <v>8173</v>
      </c>
      <c r="T296" s="166" t="str">
        <f>MID(PAA[[#This Row],[Meta Proyecto de Inversión]],6,2)</f>
        <v>2-</v>
      </c>
      <c r="U296" s="167" t="str">
        <f>IFERROR(VLOOKUP(N296,TD!$B$54:$F$58,2,0)," ")</f>
        <v>O230117</v>
      </c>
      <c r="V296" s="167" t="str">
        <f>IFERROR(VLOOKUP(N296,TD!$B$54:$F$58,3,0)," ")</f>
        <v>4503</v>
      </c>
      <c r="W296" s="167">
        <f>IFERROR(VLOOKUP(N296,TD!$B$54:$F$58,4,0)," ")</f>
        <v>20240255</v>
      </c>
      <c r="X296" s="166" t="s">
        <v>164</v>
      </c>
      <c r="Y296" s="167" t="str">
        <f>IFERROR(VLOOKUP(X296,TD!$J$55:$K$68,2,0)," ")</f>
        <v>Servicio de atención a incidentes y emergencias.</v>
      </c>
      <c r="Z296" s="168" t="str">
        <f>CONCATENATE(X296,"-",Y296)</f>
        <v>04-Servicio de atención a incidentes y emergencias.</v>
      </c>
      <c r="AA296" s="171" t="s">
        <v>221</v>
      </c>
      <c r="AB296" s="167" t="str">
        <f>IFERROR(VLOOKUP(AA296,TD!$N$55:$O$70,2,0)," ")</f>
        <v>Servicio de atención a emergencias y desastres</v>
      </c>
      <c r="AC296" s="168" t="str">
        <f>CONCATENATE(AA296,"_",AB296)</f>
        <v>004_Servicio de atención a emergencias y desastres</v>
      </c>
      <c r="AD296" s="168" t="str">
        <f>CONCATENATE(Z296," ",AC296)</f>
        <v>04-Servicio de atención a incidentes y emergencias. 004_Servicio de atención a emergencias y desastres</v>
      </c>
      <c r="AE296" s="167" t="str">
        <f>CONCATENATE(U296,V296,W296,X296,AA296)</f>
        <v>O23011745032024025504004</v>
      </c>
      <c r="AF296" s="167" t="str">
        <f>IFERROR(VLOOKUP(AD296,TD!$J$70:$K$93,2,0)," ")</f>
        <v>PM/0131/0104/45030040255</v>
      </c>
      <c r="AG296" s="114" t="s">
        <v>385</v>
      </c>
      <c r="AH296" s="166" t="s">
        <v>193</v>
      </c>
      <c r="AI296" s="169" t="str">
        <f>CONCATENATE(PAA[[#This Row],[Id Interno]],"-",PAA[[#This Row],[tipo de Contrato (TH talento humano - B/S bienes y/o servicios)]],"-",S296,"-",T296,"-",PAA[[#This Row],[Objeto de la contratación]])</f>
        <v>20260260-TH-8173-2--Prestación de servicios de apoyo al proceso de comunicaciones en emergencias del centro de coordinación y comunicaciones (c.c.c.), para el desarrollo de los programas a cargo de la Subdirección Operativa-S.O.</v>
      </c>
    </row>
    <row r="297" spans="2:35" ht="56" x14ac:dyDescent="0.35">
      <c r="B297" s="23">
        <v>20260261</v>
      </c>
      <c r="C297" s="97" t="s">
        <v>812</v>
      </c>
      <c r="D297" s="97" t="s">
        <v>105</v>
      </c>
      <c r="E297" s="97" t="s">
        <v>363</v>
      </c>
      <c r="F297" s="164" t="s">
        <v>145</v>
      </c>
      <c r="G297" s="164" t="s">
        <v>373</v>
      </c>
      <c r="H297" s="170">
        <v>10</v>
      </c>
      <c r="I297" s="170">
        <v>0</v>
      </c>
      <c r="J297" s="114">
        <v>31000000</v>
      </c>
      <c r="K297" s="121" t="s">
        <v>398</v>
      </c>
      <c r="L297" s="164" t="s">
        <v>158</v>
      </c>
      <c r="M297" s="171" t="s">
        <v>421</v>
      </c>
      <c r="N297" s="97" t="s">
        <v>198</v>
      </c>
      <c r="O297" s="144" t="s">
        <v>887</v>
      </c>
      <c r="P297" s="164" t="s">
        <v>348</v>
      </c>
      <c r="Q297" s="123">
        <v>80111600</v>
      </c>
      <c r="R297" s="171" t="s">
        <v>211</v>
      </c>
      <c r="S297" s="166" t="str">
        <f>MID(PAA[[#This Row],[Meta Proyecto de Inversión]],1,4)</f>
        <v>8173</v>
      </c>
      <c r="T297" s="166" t="str">
        <f>MID(PAA[[#This Row],[Meta Proyecto de Inversión]],6,2)</f>
        <v>2-</v>
      </c>
      <c r="U297" s="167" t="str">
        <f>IFERROR(VLOOKUP(N297,TD!$B$54:$F$58,2,0)," ")</f>
        <v>O230117</v>
      </c>
      <c r="V297" s="167" t="str">
        <f>IFERROR(VLOOKUP(N297,TD!$B$54:$F$58,3,0)," ")</f>
        <v>4503</v>
      </c>
      <c r="W297" s="167">
        <f>IFERROR(VLOOKUP(N297,TD!$B$54:$F$58,4,0)," ")</f>
        <v>20240255</v>
      </c>
      <c r="X297" s="166" t="s">
        <v>164</v>
      </c>
      <c r="Y297" s="167" t="str">
        <f>IFERROR(VLOOKUP(X297,TD!$J$55:$K$68,2,0)," ")</f>
        <v>Servicio de atención a incidentes y emergencias.</v>
      </c>
      <c r="Z297" s="168" t="str">
        <f>CONCATENATE(X297,"-",Y297)</f>
        <v>04-Servicio de atención a incidentes y emergencias.</v>
      </c>
      <c r="AA297" s="171" t="s">
        <v>221</v>
      </c>
      <c r="AB297" s="167" t="str">
        <f>IFERROR(VLOOKUP(AA297,TD!$N$55:$O$70,2,0)," ")</f>
        <v>Servicio de atención a emergencias y desastres</v>
      </c>
      <c r="AC297" s="168" t="str">
        <f>CONCATENATE(AA297,"_",AB297)</f>
        <v>004_Servicio de atención a emergencias y desastres</v>
      </c>
      <c r="AD297" s="168" t="str">
        <f>CONCATENATE(Z297," ",AC297)</f>
        <v>04-Servicio de atención a incidentes y emergencias. 004_Servicio de atención a emergencias y desastres</v>
      </c>
      <c r="AE297" s="167" t="str">
        <f>CONCATENATE(U297,V297,W297,X297,AA297)</f>
        <v>O23011745032024025504004</v>
      </c>
      <c r="AF297" s="167" t="str">
        <f>IFERROR(VLOOKUP(AD297,TD!$J$70:$K$93,2,0)," ")</f>
        <v>PM/0131/0104/45030040255</v>
      </c>
      <c r="AG297" s="114" t="s">
        <v>385</v>
      </c>
      <c r="AH297" s="166" t="s">
        <v>193</v>
      </c>
      <c r="AI297" s="169" t="str">
        <f>CONCATENATE(PAA[[#This Row],[Id Interno]],"-",PAA[[#This Row],[tipo de Contrato (TH talento humano - B/S bienes y/o servicios)]],"-",S297,"-",T297,"-",PAA[[#This Row],[Objeto de la contratación]])</f>
        <v>20260261-TH-8173-2--Prestación de servicios de apoyo al proceso de comunicaciones en emergencias del centro de coordinación y comunicaciones (c.c.c.), para el desarrollo de los programas a cargo de la Subdirección Operativa-S.O.</v>
      </c>
    </row>
    <row r="298" spans="2:35" ht="66" customHeight="1" x14ac:dyDescent="0.35">
      <c r="B298" s="23">
        <v>20260262</v>
      </c>
      <c r="C298" s="97" t="s">
        <v>812</v>
      </c>
      <c r="D298" s="97" t="s">
        <v>105</v>
      </c>
      <c r="E298" s="97" t="s">
        <v>363</v>
      </c>
      <c r="F298" s="164" t="s">
        <v>145</v>
      </c>
      <c r="G298" s="164" t="s">
        <v>373</v>
      </c>
      <c r="H298" s="170">
        <v>10</v>
      </c>
      <c r="I298" s="170">
        <v>0</v>
      </c>
      <c r="J298" s="114">
        <v>31000000</v>
      </c>
      <c r="K298" s="121" t="s">
        <v>398</v>
      </c>
      <c r="L298" s="164" t="s">
        <v>158</v>
      </c>
      <c r="M298" s="171" t="s">
        <v>421</v>
      </c>
      <c r="N298" s="97" t="s">
        <v>198</v>
      </c>
      <c r="O298" s="144" t="s">
        <v>887</v>
      </c>
      <c r="P298" s="164" t="s">
        <v>348</v>
      </c>
      <c r="Q298" s="123">
        <v>80111600</v>
      </c>
      <c r="R298" s="171" t="s">
        <v>211</v>
      </c>
      <c r="S298" s="166" t="str">
        <f>MID(PAA[[#This Row],[Meta Proyecto de Inversión]],1,4)</f>
        <v>8173</v>
      </c>
      <c r="T298" s="166" t="str">
        <f>MID(PAA[[#This Row],[Meta Proyecto de Inversión]],6,2)</f>
        <v>2-</v>
      </c>
      <c r="U298" s="167" t="str">
        <f>IFERROR(VLOOKUP(N298,TD!$B$54:$F$58,2,0)," ")</f>
        <v>O230117</v>
      </c>
      <c r="V298" s="167" t="str">
        <f>IFERROR(VLOOKUP(N298,TD!$B$54:$F$58,3,0)," ")</f>
        <v>4503</v>
      </c>
      <c r="W298" s="167">
        <f>IFERROR(VLOOKUP(N298,TD!$B$54:$F$58,4,0)," ")</f>
        <v>20240255</v>
      </c>
      <c r="X298" s="166" t="s">
        <v>164</v>
      </c>
      <c r="Y298" s="167" t="str">
        <f>IFERROR(VLOOKUP(X298,TD!$J$55:$K$68,2,0)," ")</f>
        <v>Servicio de atención a incidentes y emergencias.</v>
      </c>
      <c r="Z298" s="168" t="str">
        <f>CONCATENATE(X298,"-",Y298)</f>
        <v>04-Servicio de atención a incidentes y emergencias.</v>
      </c>
      <c r="AA298" s="171" t="s">
        <v>221</v>
      </c>
      <c r="AB298" s="167" t="str">
        <f>IFERROR(VLOOKUP(AA298,TD!$N$55:$O$70,2,0)," ")</f>
        <v>Servicio de atención a emergencias y desastres</v>
      </c>
      <c r="AC298" s="168" t="str">
        <f>CONCATENATE(AA298,"_",AB298)</f>
        <v>004_Servicio de atención a emergencias y desastres</v>
      </c>
      <c r="AD298" s="168" t="str">
        <f>CONCATENATE(Z298," ",AC298)</f>
        <v>04-Servicio de atención a incidentes y emergencias. 004_Servicio de atención a emergencias y desastres</v>
      </c>
      <c r="AE298" s="167" t="str">
        <f>CONCATENATE(U298,V298,W298,X298,AA298)</f>
        <v>O23011745032024025504004</v>
      </c>
      <c r="AF298" s="167" t="str">
        <f>IFERROR(VLOOKUP(AD298,TD!$J$70:$K$93,2,0)," ")</f>
        <v>PM/0131/0104/45030040255</v>
      </c>
      <c r="AG298" s="114" t="s">
        <v>385</v>
      </c>
      <c r="AH298" s="166" t="s">
        <v>193</v>
      </c>
      <c r="AI298" s="169" t="str">
        <f>CONCATENATE(PAA[[#This Row],[Id Interno]],"-",PAA[[#This Row],[tipo de Contrato (TH talento humano - B/S bienes y/o servicios)]],"-",S298,"-",T298,"-",PAA[[#This Row],[Objeto de la contratación]])</f>
        <v>20260262-TH-8173-2--Prestación de servicios de apoyo al proceso de comunicaciones en emergencias del centro de coordinación y comunicaciones (c.c.c.), para el desarrollo de los programas a cargo de la Subdirección Operativa-S.O.</v>
      </c>
    </row>
    <row r="299" spans="2:35" ht="56" x14ac:dyDescent="0.35">
      <c r="B299" s="23">
        <v>20260263</v>
      </c>
      <c r="C299" s="97" t="s">
        <v>813</v>
      </c>
      <c r="D299" s="97" t="s">
        <v>105</v>
      </c>
      <c r="E299" s="97" t="s">
        <v>363</v>
      </c>
      <c r="F299" s="164" t="s">
        <v>145</v>
      </c>
      <c r="G299" s="164" t="s">
        <v>373</v>
      </c>
      <c r="H299" s="170">
        <v>9</v>
      </c>
      <c r="I299" s="170">
        <v>0</v>
      </c>
      <c r="J299" s="114">
        <v>26910000</v>
      </c>
      <c r="K299" s="121" t="s">
        <v>398</v>
      </c>
      <c r="L299" s="164" t="s">
        <v>158</v>
      </c>
      <c r="M299" s="171" t="s">
        <v>421</v>
      </c>
      <c r="N299" s="97" t="s">
        <v>198</v>
      </c>
      <c r="O299" s="144" t="s">
        <v>887</v>
      </c>
      <c r="P299" s="164" t="s">
        <v>348</v>
      </c>
      <c r="Q299" s="123">
        <v>80111600</v>
      </c>
      <c r="R299" s="171" t="s">
        <v>211</v>
      </c>
      <c r="S299" s="166" t="str">
        <f>MID(PAA[[#This Row],[Meta Proyecto de Inversión]],1,4)</f>
        <v>8173</v>
      </c>
      <c r="T299" s="166" t="str">
        <f>MID(PAA[[#This Row],[Meta Proyecto de Inversión]],6,2)</f>
        <v>2-</v>
      </c>
      <c r="U299" s="167" t="str">
        <f>IFERROR(VLOOKUP(N299,TD!$B$54:$F$58,2,0)," ")</f>
        <v>O230117</v>
      </c>
      <c r="V299" s="167" t="str">
        <f>IFERROR(VLOOKUP(N299,TD!$B$54:$F$58,3,0)," ")</f>
        <v>4503</v>
      </c>
      <c r="W299" s="167">
        <f>IFERROR(VLOOKUP(N299,TD!$B$54:$F$58,4,0)," ")</f>
        <v>20240255</v>
      </c>
      <c r="X299" s="166" t="s">
        <v>164</v>
      </c>
      <c r="Y299" s="167" t="str">
        <f>IFERROR(VLOOKUP(X299,TD!$J$55:$K$68,2,0)," ")</f>
        <v>Servicio de atención a incidentes y emergencias.</v>
      </c>
      <c r="Z299" s="168" t="str">
        <f>CONCATENATE(X299,"-",Y299)</f>
        <v>04-Servicio de atención a incidentes y emergencias.</v>
      </c>
      <c r="AA299" s="166" t="s">
        <v>221</v>
      </c>
      <c r="AB299" s="167" t="str">
        <f>IFERROR(VLOOKUP(AA299,TD!$N$55:$O$70,2,0)," ")</f>
        <v>Servicio de atención a emergencias y desastres</v>
      </c>
      <c r="AC299" s="168" t="str">
        <f>CONCATENATE(AA299,"_",AB299)</f>
        <v>004_Servicio de atención a emergencias y desastres</v>
      </c>
      <c r="AD299" s="168" t="str">
        <f>CONCATENATE(Z299," ",AC299)</f>
        <v>04-Servicio de atención a incidentes y emergencias. 004_Servicio de atención a emergencias y desastres</v>
      </c>
      <c r="AE299" s="167" t="str">
        <f>CONCATENATE(U299,V299,W299,X299,AA299)</f>
        <v>O23011745032024025504004</v>
      </c>
      <c r="AF299" s="167" t="str">
        <f>IFERROR(VLOOKUP(AD299,TD!$J$70:$K$93,2,0)," ")</f>
        <v>PM/0131/0104/45030040255</v>
      </c>
      <c r="AG299" s="114" t="s">
        <v>385</v>
      </c>
      <c r="AH299" s="166" t="s">
        <v>193</v>
      </c>
      <c r="AI299" s="169" t="str">
        <f>CONCATENATE(PAA[[#This Row],[Id Interno]],"-",PAA[[#This Row],[tipo de Contrato (TH talento humano - B/S bienes y/o servicios)]],"-",S299,"-",T299,"-",PAA[[#This Row],[Objeto de la contratación]])</f>
        <v>20260263-TH-8173-2--Prestación de servicios para realizar la gestión administrativa requerida en la estación de bomberos asignada, para el desarrollo de los programas a cargo de la Subdirección Operativa-S.O.</v>
      </c>
    </row>
    <row r="300" spans="2:35" ht="56" x14ac:dyDescent="0.35">
      <c r="B300" s="23">
        <v>20260264</v>
      </c>
      <c r="C300" s="97" t="s">
        <v>813</v>
      </c>
      <c r="D300" s="97" t="s">
        <v>105</v>
      </c>
      <c r="E300" s="97" t="s">
        <v>363</v>
      </c>
      <c r="F300" s="164" t="s">
        <v>145</v>
      </c>
      <c r="G300" s="164" t="s">
        <v>373</v>
      </c>
      <c r="H300" s="170">
        <v>9</v>
      </c>
      <c r="I300" s="170">
        <v>0</v>
      </c>
      <c r="J300" s="114">
        <v>26910000</v>
      </c>
      <c r="K300" s="121" t="s">
        <v>398</v>
      </c>
      <c r="L300" s="164" t="s">
        <v>158</v>
      </c>
      <c r="M300" s="171" t="s">
        <v>421</v>
      </c>
      <c r="N300" s="97" t="s">
        <v>198</v>
      </c>
      <c r="O300" s="144" t="s">
        <v>887</v>
      </c>
      <c r="P300" s="164" t="s">
        <v>348</v>
      </c>
      <c r="Q300" s="123">
        <v>80111600</v>
      </c>
      <c r="R300" s="171" t="s">
        <v>211</v>
      </c>
      <c r="S300" s="166" t="str">
        <f>MID(PAA[[#This Row],[Meta Proyecto de Inversión]],1,4)</f>
        <v>8173</v>
      </c>
      <c r="T300" s="166" t="str">
        <f>MID(PAA[[#This Row],[Meta Proyecto de Inversión]],6,2)</f>
        <v>2-</v>
      </c>
      <c r="U300" s="167" t="str">
        <f>IFERROR(VLOOKUP(N300,TD!$B$54:$F$58,2,0)," ")</f>
        <v>O230117</v>
      </c>
      <c r="V300" s="167" t="str">
        <f>IFERROR(VLOOKUP(N300,TD!$B$54:$F$58,3,0)," ")</f>
        <v>4503</v>
      </c>
      <c r="W300" s="167">
        <f>IFERROR(VLOOKUP(N300,TD!$B$54:$F$58,4,0)," ")</f>
        <v>20240255</v>
      </c>
      <c r="X300" s="166" t="s">
        <v>164</v>
      </c>
      <c r="Y300" s="167" t="str">
        <f>IFERROR(VLOOKUP(X300,TD!$J$55:$K$68,2,0)," ")</f>
        <v>Servicio de atención a incidentes y emergencias.</v>
      </c>
      <c r="Z300" s="168" t="str">
        <f>CONCATENATE(X300,"-",Y300)</f>
        <v>04-Servicio de atención a incidentes y emergencias.</v>
      </c>
      <c r="AA300" s="166" t="s">
        <v>221</v>
      </c>
      <c r="AB300" s="167" t="str">
        <f>IFERROR(VLOOKUP(AA300,TD!$N$55:$O$70,2,0)," ")</f>
        <v>Servicio de atención a emergencias y desastres</v>
      </c>
      <c r="AC300" s="168" t="str">
        <f>CONCATENATE(AA300,"_",AB300)</f>
        <v>004_Servicio de atención a emergencias y desastres</v>
      </c>
      <c r="AD300" s="168" t="str">
        <f>CONCATENATE(Z300," ",AC300)</f>
        <v>04-Servicio de atención a incidentes y emergencias. 004_Servicio de atención a emergencias y desastres</v>
      </c>
      <c r="AE300" s="167" t="str">
        <f>CONCATENATE(U300,V300,W300,X300,AA300)</f>
        <v>O23011745032024025504004</v>
      </c>
      <c r="AF300" s="167" t="str">
        <f>IFERROR(VLOOKUP(AD300,TD!$J$70:$K$93,2,0)," ")</f>
        <v>PM/0131/0104/45030040255</v>
      </c>
      <c r="AG300" s="114" t="s">
        <v>385</v>
      </c>
      <c r="AH300" s="166" t="s">
        <v>193</v>
      </c>
      <c r="AI300" s="169" t="str">
        <f>CONCATENATE(PAA[[#This Row],[Id Interno]],"-",PAA[[#This Row],[tipo de Contrato (TH talento humano - B/S bienes y/o servicios)]],"-",S300,"-",T300,"-",PAA[[#This Row],[Objeto de la contratación]])</f>
        <v>20260264-TH-8173-2--Prestación de servicios para realizar la gestión administrativa requerida en la estación de bomberos asignada, para el desarrollo de los programas a cargo de la Subdirección Operativa-S.O.</v>
      </c>
    </row>
    <row r="301" spans="2:35" ht="56" x14ac:dyDescent="0.35">
      <c r="B301" s="23">
        <v>20260265</v>
      </c>
      <c r="C301" s="97" t="s">
        <v>813</v>
      </c>
      <c r="D301" s="97" t="s">
        <v>105</v>
      </c>
      <c r="E301" s="97" t="s">
        <v>363</v>
      </c>
      <c r="F301" s="164" t="s">
        <v>145</v>
      </c>
      <c r="G301" s="164" t="s">
        <v>373</v>
      </c>
      <c r="H301" s="170">
        <v>9</v>
      </c>
      <c r="I301" s="170">
        <v>0</v>
      </c>
      <c r="J301" s="114">
        <v>26910000</v>
      </c>
      <c r="K301" s="121" t="s">
        <v>398</v>
      </c>
      <c r="L301" s="164" t="s">
        <v>158</v>
      </c>
      <c r="M301" s="171" t="s">
        <v>421</v>
      </c>
      <c r="N301" s="97" t="s">
        <v>198</v>
      </c>
      <c r="O301" s="144" t="s">
        <v>887</v>
      </c>
      <c r="P301" s="164" t="s">
        <v>348</v>
      </c>
      <c r="Q301" s="123">
        <v>80111600</v>
      </c>
      <c r="R301" s="171" t="s">
        <v>211</v>
      </c>
      <c r="S301" s="166" t="str">
        <f>MID(PAA[[#This Row],[Meta Proyecto de Inversión]],1,4)</f>
        <v>8173</v>
      </c>
      <c r="T301" s="166" t="str">
        <f>MID(PAA[[#This Row],[Meta Proyecto de Inversión]],6,2)</f>
        <v>2-</v>
      </c>
      <c r="U301" s="167" t="str">
        <f>IFERROR(VLOOKUP(N301,TD!$B$54:$F$58,2,0)," ")</f>
        <v>O230117</v>
      </c>
      <c r="V301" s="167" t="str">
        <f>IFERROR(VLOOKUP(N301,TD!$B$54:$F$58,3,0)," ")</f>
        <v>4503</v>
      </c>
      <c r="W301" s="167">
        <f>IFERROR(VLOOKUP(N301,TD!$B$54:$F$58,4,0)," ")</f>
        <v>20240255</v>
      </c>
      <c r="X301" s="166" t="s">
        <v>164</v>
      </c>
      <c r="Y301" s="167" t="str">
        <f>IFERROR(VLOOKUP(X301,TD!$J$55:$K$68,2,0)," ")</f>
        <v>Servicio de atención a incidentes y emergencias.</v>
      </c>
      <c r="Z301" s="168" t="str">
        <f>CONCATENATE(X301,"-",Y301)</f>
        <v>04-Servicio de atención a incidentes y emergencias.</v>
      </c>
      <c r="AA301" s="166" t="s">
        <v>221</v>
      </c>
      <c r="AB301" s="167" t="str">
        <f>IFERROR(VLOOKUP(AA301,TD!$N$55:$O$70,2,0)," ")</f>
        <v>Servicio de atención a emergencias y desastres</v>
      </c>
      <c r="AC301" s="168" t="str">
        <f>CONCATENATE(AA301,"_",AB301)</f>
        <v>004_Servicio de atención a emergencias y desastres</v>
      </c>
      <c r="AD301" s="168" t="str">
        <f>CONCATENATE(Z301," ",AC301)</f>
        <v>04-Servicio de atención a incidentes y emergencias. 004_Servicio de atención a emergencias y desastres</v>
      </c>
      <c r="AE301" s="167" t="str">
        <f>CONCATENATE(U301,V301,W301,X301,AA301)</f>
        <v>O23011745032024025504004</v>
      </c>
      <c r="AF301" s="167" t="str">
        <f>IFERROR(VLOOKUP(AD301,TD!$J$70:$K$93,2,0)," ")</f>
        <v>PM/0131/0104/45030040255</v>
      </c>
      <c r="AG301" s="114" t="s">
        <v>385</v>
      </c>
      <c r="AH301" s="166" t="s">
        <v>193</v>
      </c>
      <c r="AI301" s="169" t="str">
        <f>CONCATENATE(PAA[[#This Row],[Id Interno]],"-",PAA[[#This Row],[tipo de Contrato (TH talento humano - B/S bienes y/o servicios)]],"-",S301,"-",T301,"-",PAA[[#This Row],[Objeto de la contratación]])</f>
        <v>20260265-TH-8173-2--Prestación de servicios para realizar la gestión administrativa requerida en la estación de bomberos asignada, para el desarrollo de los programas a cargo de la Subdirección Operativa-S.O.</v>
      </c>
    </row>
    <row r="302" spans="2:35" ht="56" x14ac:dyDescent="0.35">
      <c r="B302" s="23">
        <v>20260266</v>
      </c>
      <c r="C302" s="97" t="s">
        <v>813</v>
      </c>
      <c r="D302" s="97" t="s">
        <v>105</v>
      </c>
      <c r="E302" s="97" t="s">
        <v>363</v>
      </c>
      <c r="F302" s="164" t="s">
        <v>145</v>
      </c>
      <c r="G302" s="164" t="s">
        <v>373</v>
      </c>
      <c r="H302" s="170">
        <v>9</v>
      </c>
      <c r="I302" s="170">
        <v>0</v>
      </c>
      <c r="J302" s="114">
        <v>26910000</v>
      </c>
      <c r="K302" s="121" t="s">
        <v>398</v>
      </c>
      <c r="L302" s="164" t="s">
        <v>158</v>
      </c>
      <c r="M302" s="171" t="s">
        <v>421</v>
      </c>
      <c r="N302" s="97" t="s">
        <v>198</v>
      </c>
      <c r="O302" s="144" t="s">
        <v>887</v>
      </c>
      <c r="P302" s="164" t="s">
        <v>348</v>
      </c>
      <c r="Q302" s="123">
        <v>80111600</v>
      </c>
      <c r="R302" s="171" t="s">
        <v>211</v>
      </c>
      <c r="S302" s="166" t="str">
        <f>MID(PAA[[#This Row],[Meta Proyecto de Inversión]],1,4)</f>
        <v>8173</v>
      </c>
      <c r="T302" s="166" t="str">
        <f>MID(PAA[[#This Row],[Meta Proyecto de Inversión]],6,2)</f>
        <v>2-</v>
      </c>
      <c r="U302" s="167" t="str">
        <f>IFERROR(VLOOKUP(N302,TD!$B$54:$F$58,2,0)," ")</f>
        <v>O230117</v>
      </c>
      <c r="V302" s="167" t="str">
        <f>IFERROR(VLOOKUP(N302,TD!$B$54:$F$58,3,0)," ")</f>
        <v>4503</v>
      </c>
      <c r="W302" s="167">
        <f>IFERROR(VLOOKUP(N302,TD!$B$54:$F$58,4,0)," ")</f>
        <v>20240255</v>
      </c>
      <c r="X302" s="166" t="s">
        <v>164</v>
      </c>
      <c r="Y302" s="167" t="str">
        <f>IFERROR(VLOOKUP(X302,TD!$J$55:$K$68,2,0)," ")</f>
        <v>Servicio de atención a incidentes y emergencias.</v>
      </c>
      <c r="Z302" s="168" t="str">
        <f>CONCATENATE(X302,"-",Y302)</f>
        <v>04-Servicio de atención a incidentes y emergencias.</v>
      </c>
      <c r="AA302" s="166" t="s">
        <v>221</v>
      </c>
      <c r="AB302" s="167" t="str">
        <f>IFERROR(VLOOKUP(AA302,TD!$N$55:$O$70,2,0)," ")</f>
        <v>Servicio de atención a emergencias y desastres</v>
      </c>
      <c r="AC302" s="168" t="str">
        <f>CONCATENATE(AA302,"_",AB302)</f>
        <v>004_Servicio de atención a emergencias y desastres</v>
      </c>
      <c r="AD302" s="168" t="str">
        <f>CONCATENATE(Z302," ",AC302)</f>
        <v>04-Servicio de atención a incidentes y emergencias. 004_Servicio de atención a emergencias y desastres</v>
      </c>
      <c r="AE302" s="167" t="str">
        <f>CONCATENATE(U302,V302,W302,X302,AA302)</f>
        <v>O23011745032024025504004</v>
      </c>
      <c r="AF302" s="167" t="str">
        <f>IFERROR(VLOOKUP(AD302,TD!$J$70:$K$93,2,0)," ")</f>
        <v>PM/0131/0104/45030040255</v>
      </c>
      <c r="AG302" s="114" t="s">
        <v>385</v>
      </c>
      <c r="AH302" s="166" t="s">
        <v>193</v>
      </c>
      <c r="AI302" s="169" t="str">
        <f>CONCATENATE(PAA[[#This Row],[Id Interno]],"-",PAA[[#This Row],[tipo de Contrato (TH talento humano - B/S bienes y/o servicios)]],"-",S302,"-",T302,"-",PAA[[#This Row],[Objeto de la contratación]])</f>
        <v>20260266-TH-8173-2--Prestación de servicios para realizar la gestión administrativa requerida en la estación de bomberos asignada, para el desarrollo de los programas a cargo de la Subdirección Operativa-S.O.</v>
      </c>
    </row>
    <row r="303" spans="2:35" ht="56" x14ac:dyDescent="0.35">
      <c r="B303" s="23">
        <v>20260267</v>
      </c>
      <c r="C303" s="97" t="s">
        <v>813</v>
      </c>
      <c r="D303" s="97" t="s">
        <v>105</v>
      </c>
      <c r="E303" s="97" t="s">
        <v>363</v>
      </c>
      <c r="F303" s="164" t="s">
        <v>145</v>
      </c>
      <c r="G303" s="164" t="s">
        <v>373</v>
      </c>
      <c r="H303" s="170">
        <v>9</v>
      </c>
      <c r="I303" s="170">
        <v>0</v>
      </c>
      <c r="J303" s="114">
        <v>26910000</v>
      </c>
      <c r="K303" s="121" t="s">
        <v>398</v>
      </c>
      <c r="L303" s="164" t="s">
        <v>158</v>
      </c>
      <c r="M303" s="171" t="s">
        <v>421</v>
      </c>
      <c r="N303" s="97" t="s">
        <v>198</v>
      </c>
      <c r="O303" s="144" t="s">
        <v>887</v>
      </c>
      <c r="P303" s="164" t="s">
        <v>348</v>
      </c>
      <c r="Q303" s="123">
        <v>80111600</v>
      </c>
      <c r="R303" s="171" t="s">
        <v>211</v>
      </c>
      <c r="S303" s="166" t="str">
        <f>MID(PAA[[#This Row],[Meta Proyecto de Inversión]],1,4)</f>
        <v>8173</v>
      </c>
      <c r="T303" s="166" t="str">
        <f>MID(PAA[[#This Row],[Meta Proyecto de Inversión]],6,2)</f>
        <v>2-</v>
      </c>
      <c r="U303" s="167" t="str">
        <f>IFERROR(VLOOKUP(N303,TD!$B$54:$F$58,2,0)," ")</f>
        <v>O230117</v>
      </c>
      <c r="V303" s="167" t="str">
        <f>IFERROR(VLOOKUP(N303,TD!$B$54:$F$58,3,0)," ")</f>
        <v>4503</v>
      </c>
      <c r="W303" s="167">
        <f>IFERROR(VLOOKUP(N303,TD!$B$54:$F$58,4,0)," ")</f>
        <v>20240255</v>
      </c>
      <c r="X303" s="166" t="s">
        <v>164</v>
      </c>
      <c r="Y303" s="167" t="str">
        <f>IFERROR(VLOOKUP(X303,TD!$J$55:$K$68,2,0)," ")</f>
        <v>Servicio de atención a incidentes y emergencias.</v>
      </c>
      <c r="Z303" s="168" t="str">
        <f>CONCATENATE(X303,"-",Y303)</f>
        <v>04-Servicio de atención a incidentes y emergencias.</v>
      </c>
      <c r="AA303" s="166" t="s">
        <v>221</v>
      </c>
      <c r="AB303" s="167" t="str">
        <f>IFERROR(VLOOKUP(AA303,TD!$N$55:$O$70,2,0)," ")</f>
        <v>Servicio de atención a emergencias y desastres</v>
      </c>
      <c r="AC303" s="168" t="str">
        <f>CONCATENATE(AA303,"_",AB303)</f>
        <v>004_Servicio de atención a emergencias y desastres</v>
      </c>
      <c r="AD303" s="168" t="str">
        <f>CONCATENATE(Z303," ",AC303)</f>
        <v>04-Servicio de atención a incidentes y emergencias. 004_Servicio de atención a emergencias y desastres</v>
      </c>
      <c r="AE303" s="167" t="str">
        <f>CONCATENATE(U303,V303,W303,X303,AA303)</f>
        <v>O23011745032024025504004</v>
      </c>
      <c r="AF303" s="167" t="str">
        <f>IFERROR(VLOOKUP(AD303,TD!$J$70:$K$93,2,0)," ")</f>
        <v>PM/0131/0104/45030040255</v>
      </c>
      <c r="AG303" s="114" t="s">
        <v>385</v>
      </c>
      <c r="AH303" s="166" t="s">
        <v>193</v>
      </c>
      <c r="AI303" s="169" t="str">
        <f>CONCATENATE(PAA[[#This Row],[Id Interno]],"-",PAA[[#This Row],[tipo de Contrato (TH talento humano - B/S bienes y/o servicios)]],"-",S303,"-",T303,"-",PAA[[#This Row],[Objeto de la contratación]])</f>
        <v>20260267-TH-8173-2--Prestación de servicios para realizar la gestión administrativa requerida en la estación de bomberos asignada, para el desarrollo de los programas a cargo de la Subdirección Operativa-S.O.</v>
      </c>
    </row>
    <row r="304" spans="2:35" ht="56" x14ac:dyDescent="0.35">
      <c r="B304" s="23">
        <v>20260268</v>
      </c>
      <c r="C304" s="97" t="s">
        <v>813</v>
      </c>
      <c r="D304" s="97" t="s">
        <v>105</v>
      </c>
      <c r="E304" s="97" t="s">
        <v>363</v>
      </c>
      <c r="F304" s="164" t="s">
        <v>145</v>
      </c>
      <c r="G304" s="164" t="s">
        <v>373</v>
      </c>
      <c r="H304" s="170">
        <v>9</v>
      </c>
      <c r="I304" s="170">
        <v>0</v>
      </c>
      <c r="J304" s="114">
        <v>26910000</v>
      </c>
      <c r="K304" s="121" t="s">
        <v>398</v>
      </c>
      <c r="L304" s="164" t="s">
        <v>158</v>
      </c>
      <c r="M304" s="171" t="s">
        <v>421</v>
      </c>
      <c r="N304" s="97" t="s">
        <v>198</v>
      </c>
      <c r="O304" s="144" t="s">
        <v>887</v>
      </c>
      <c r="P304" s="164" t="s">
        <v>348</v>
      </c>
      <c r="Q304" s="123">
        <v>80111600</v>
      </c>
      <c r="R304" s="171" t="s">
        <v>211</v>
      </c>
      <c r="S304" s="166" t="str">
        <f>MID(PAA[[#This Row],[Meta Proyecto de Inversión]],1,4)</f>
        <v>8173</v>
      </c>
      <c r="T304" s="166" t="str">
        <f>MID(PAA[[#This Row],[Meta Proyecto de Inversión]],6,2)</f>
        <v>2-</v>
      </c>
      <c r="U304" s="167" t="str">
        <f>IFERROR(VLOOKUP(N304,TD!$B$54:$F$58,2,0)," ")</f>
        <v>O230117</v>
      </c>
      <c r="V304" s="167" t="str">
        <f>IFERROR(VLOOKUP(N304,TD!$B$54:$F$58,3,0)," ")</f>
        <v>4503</v>
      </c>
      <c r="W304" s="167">
        <f>IFERROR(VLOOKUP(N304,TD!$B$54:$F$58,4,0)," ")</f>
        <v>20240255</v>
      </c>
      <c r="X304" s="166" t="s">
        <v>164</v>
      </c>
      <c r="Y304" s="167" t="str">
        <f>IFERROR(VLOOKUP(X304,TD!$J$55:$K$68,2,0)," ")</f>
        <v>Servicio de atención a incidentes y emergencias.</v>
      </c>
      <c r="Z304" s="168" t="str">
        <f>CONCATENATE(X304,"-",Y304)</f>
        <v>04-Servicio de atención a incidentes y emergencias.</v>
      </c>
      <c r="AA304" s="166" t="s">
        <v>221</v>
      </c>
      <c r="AB304" s="167" t="str">
        <f>IFERROR(VLOOKUP(AA304,TD!$N$55:$O$70,2,0)," ")</f>
        <v>Servicio de atención a emergencias y desastres</v>
      </c>
      <c r="AC304" s="168" t="str">
        <f>CONCATENATE(AA304,"_",AB304)</f>
        <v>004_Servicio de atención a emergencias y desastres</v>
      </c>
      <c r="AD304" s="168" t="str">
        <f>CONCATENATE(Z304," ",AC304)</f>
        <v>04-Servicio de atención a incidentes y emergencias. 004_Servicio de atención a emergencias y desastres</v>
      </c>
      <c r="AE304" s="167" t="str">
        <f>CONCATENATE(U304,V304,W304,X304,AA304)</f>
        <v>O23011745032024025504004</v>
      </c>
      <c r="AF304" s="167" t="str">
        <f>IFERROR(VLOOKUP(AD304,TD!$J$70:$K$93,2,0)," ")</f>
        <v>PM/0131/0104/45030040255</v>
      </c>
      <c r="AG304" s="114" t="s">
        <v>385</v>
      </c>
      <c r="AH304" s="166" t="s">
        <v>193</v>
      </c>
      <c r="AI304" s="169" t="str">
        <f>CONCATENATE(PAA[[#This Row],[Id Interno]],"-",PAA[[#This Row],[tipo de Contrato (TH talento humano - B/S bienes y/o servicios)]],"-",S304,"-",T304,"-",PAA[[#This Row],[Objeto de la contratación]])</f>
        <v>20260268-TH-8173-2--Prestación de servicios para realizar la gestión administrativa requerida en la estación de bomberos asignada, para el desarrollo de los programas a cargo de la Subdirección Operativa-S.O.</v>
      </c>
    </row>
    <row r="305" spans="2:35" ht="56" x14ac:dyDescent="0.35">
      <c r="B305" s="23">
        <v>20260269</v>
      </c>
      <c r="C305" s="97" t="s">
        <v>813</v>
      </c>
      <c r="D305" s="97" t="s">
        <v>105</v>
      </c>
      <c r="E305" s="97" t="s">
        <v>363</v>
      </c>
      <c r="F305" s="164" t="s">
        <v>145</v>
      </c>
      <c r="G305" s="164" t="s">
        <v>373</v>
      </c>
      <c r="H305" s="170">
        <v>9</v>
      </c>
      <c r="I305" s="170">
        <v>0</v>
      </c>
      <c r="J305" s="114">
        <v>26910000</v>
      </c>
      <c r="K305" s="121" t="s">
        <v>398</v>
      </c>
      <c r="L305" s="164" t="s">
        <v>158</v>
      </c>
      <c r="M305" s="171" t="s">
        <v>421</v>
      </c>
      <c r="N305" s="97" t="s">
        <v>198</v>
      </c>
      <c r="O305" s="144" t="s">
        <v>887</v>
      </c>
      <c r="P305" s="164" t="s">
        <v>348</v>
      </c>
      <c r="Q305" s="123">
        <v>80111600</v>
      </c>
      <c r="R305" s="171" t="s">
        <v>211</v>
      </c>
      <c r="S305" s="166" t="str">
        <f>MID(PAA[[#This Row],[Meta Proyecto de Inversión]],1,4)</f>
        <v>8173</v>
      </c>
      <c r="T305" s="166" t="str">
        <f>MID(PAA[[#This Row],[Meta Proyecto de Inversión]],6,2)</f>
        <v>2-</v>
      </c>
      <c r="U305" s="167" t="str">
        <f>IFERROR(VLOOKUP(N305,TD!$B$54:$F$58,2,0)," ")</f>
        <v>O230117</v>
      </c>
      <c r="V305" s="167" t="str">
        <f>IFERROR(VLOOKUP(N305,TD!$B$54:$F$58,3,0)," ")</f>
        <v>4503</v>
      </c>
      <c r="W305" s="167">
        <f>IFERROR(VLOOKUP(N305,TD!$B$54:$F$58,4,0)," ")</f>
        <v>20240255</v>
      </c>
      <c r="X305" s="166" t="s">
        <v>164</v>
      </c>
      <c r="Y305" s="167" t="str">
        <f>IFERROR(VLOOKUP(X305,TD!$J$55:$K$68,2,0)," ")</f>
        <v>Servicio de atención a incidentes y emergencias.</v>
      </c>
      <c r="Z305" s="168" t="str">
        <f>CONCATENATE(X305,"-",Y305)</f>
        <v>04-Servicio de atención a incidentes y emergencias.</v>
      </c>
      <c r="AA305" s="166" t="s">
        <v>221</v>
      </c>
      <c r="AB305" s="167" t="str">
        <f>IFERROR(VLOOKUP(AA305,TD!$N$55:$O$70,2,0)," ")</f>
        <v>Servicio de atención a emergencias y desastres</v>
      </c>
      <c r="AC305" s="168" t="str">
        <f>CONCATENATE(AA305,"_",AB305)</f>
        <v>004_Servicio de atención a emergencias y desastres</v>
      </c>
      <c r="AD305" s="168" t="str">
        <f>CONCATENATE(Z305," ",AC305)</f>
        <v>04-Servicio de atención a incidentes y emergencias. 004_Servicio de atención a emergencias y desastres</v>
      </c>
      <c r="AE305" s="167" t="str">
        <f>CONCATENATE(U305,V305,W305,X305,AA305)</f>
        <v>O23011745032024025504004</v>
      </c>
      <c r="AF305" s="167" t="str">
        <f>IFERROR(VLOOKUP(AD305,TD!$J$70:$K$93,2,0)," ")</f>
        <v>PM/0131/0104/45030040255</v>
      </c>
      <c r="AG305" s="114" t="s">
        <v>385</v>
      </c>
      <c r="AH305" s="166" t="s">
        <v>193</v>
      </c>
      <c r="AI305" s="169" t="str">
        <f>CONCATENATE(PAA[[#This Row],[Id Interno]],"-",PAA[[#This Row],[tipo de Contrato (TH talento humano - B/S bienes y/o servicios)]],"-",S305,"-",T305,"-",PAA[[#This Row],[Objeto de la contratación]])</f>
        <v>20260269-TH-8173-2--Prestación de servicios para realizar la gestión administrativa requerida en la estación de bomberos asignada, para el desarrollo de los programas a cargo de la Subdirección Operativa-S.O.</v>
      </c>
    </row>
    <row r="306" spans="2:35" ht="56" x14ac:dyDescent="0.35">
      <c r="B306" s="23">
        <v>20260270</v>
      </c>
      <c r="C306" s="97" t="s">
        <v>813</v>
      </c>
      <c r="D306" s="97" t="s">
        <v>105</v>
      </c>
      <c r="E306" s="97" t="s">
        <v>363</v>
      </c>
      <c r="F306" s="164" t="s">
        <v>145</v>
      </c>
      <c r="G306" s="164" t="s">
        <v>373</v>
      </c>
      <c r="H306" s="170">
        <v>9</v>
      </c>
      <c r="I306" s="170">
        <v>0</v>
      </c>
      <c r="J306" s="114">
        <v>26910000</v>
      </c>
      <c r="K306" s="121" t="s">
        <v>398</v>
      </c>
      <c r="L306" s="164" t="s">
        <v>158</v>
      </c>
      <c r="M306" s="171" t="s">
        <v>421</v>
      </c>
      <c r="N306" s="97" t="s">
        <v>198</v>
      </c>
      <c r="O306" s="144" t="s">
        <v>887</v>
      </c>
      <c r="P306" s="164" t="s">
        <v>348</v>
      </c>
      <c r="Q306" s="123">
        <v>80111600</v>
      </c>
      <c r="R306" s="171" t="s">
        <v>211</v>
      </c>
      <c r="S306" s="166" t="str">
        <f>MID(PAA[[#This Row],[Meta Proyecto de Inversión]],1,4)</f>
        <v>8173</v>
      </c>
      <c r="T306" s="166" t="str">
        <f>MID(PAA[[#This Row],[Meta Proyecto de Inversión]],6,2)</f>
        <v>2-</v>
      </c>
      <c r="U306" s="167" t="str">
        <f>IFERROR(VLOOKUP(N306,TD!$B$54:$F$58,2,0)," ")</f>
        <v>O230117</v>
      </c>
      <c r="V306" s="167" t="str">
        <f>IFERROR(VLOOKUP(N306,TD!$B$54:$F$58,3,0)," ")</f>
        <v>4503</v>
      </c>
      <c r="W306" s="167">
        <f>IFERROR(VLOOKUP(N306,TD!$B$54:$F$58,4,0)," ")</f>
        <v>20240255</v>
      </c>
      <c r="X306" s="166" t="s">
        <v>164</v>
      </c>
      <c r="Y306" s="167" t="str">
        <f>IFERROR(VLOOKUP(X306,TD!$J$55:$K$68,2,0)," ")</f>
        <v>Servicio de atención a incidentes y emergencias.</v>
      </c>
      <c r="Z306" s="168" t="str">
        <f>CONCATENATE(X306,"-",Y306)</f>
        <v>04-Servicio de atención a incidentes y emergencias.</v>
      </c>
      <c r="AA306" s="166" t="s">
        <v>221</v>
      </c>
      <c r="AB306" s="167" t="str">
        <f>IFERROR(VLOOKUP(AA306,TD!$N$55:$O$70,2,0)," ")</f>
        <v>Servicio de atención a emergencias y desastres</v>
      </c>
      <c r="AC306" s="168" t="str">
        <f>CONCATENATE(AA306,"_",AB306)</f>
        <v>004_Servicio de atención a emergencias y desastres</v>
      </c>
      <c r="AD306" s="168" t="str">
        <f>CONCATENATE(Z306," ",AC306)</f>
        <v>04-Servicio de atención a incidentes y emergencias. 004_Servicio de atención a emergencias y desastres</v>
      </c>
      <c r="AE306" s="167" t="str">
        <f>CONCATENATE(U306,V306,W306,X306,AA306)</f>
        <v>O23011745032024025504004</v>
      </c>
      <c r="AF306" s="167" t="str">
        <f>IFERROR(VLOOKUP(AD306,TD!$J$70:$K$93,2,0)," ")</f>
        <v>PM/0131/0104/45030040255</v>
      </c>
      <c r="AG306" s="114" t="s">
        <v>385</v>
      </c>
      <c r="AH306" s="166" t="s">
        <v>193</v>
      </c>
      <c r="AI306" s="169" t="str">
        <f>CONCATENATE(PAA[[#This Row],[Id Interno]],"-",PAA[[#This Row],[tipo de Contrato (TH talento humano - B/S bienes y/o servicios)]],"-",S306,"-",T306,"-",PAA[[#This Row],[Objeto de la contratación]])</f>
        <v>20260270-TH-8173-2--Prestación de servicios para realizar la gestión administrativa requerida en la estación de bomberos asignada, para el desarrollo de los programas a cargo de la Subdirección Operativa-S.O.</v>
      </c>
    </row>
    <row r="307" spans="2:35" ht="56" x14ac:dyDescent="0.35">
      <c r="B307" s="23">
        <v>20260271</v>
      </c>
      <c r="C307" s="97" t="s">
        <v>813</v>
      </c>
      <c r="D307" s="97" t="s">
        <v>105</v>
      </c>
      <c r="E307" s="97" t="s">
        <v>363</v>
      </c>
      <c r="F307" s="164" t="s">
        <v>145</v>
      </c>
      <c r="G307" s="164" t="s">
        <v>373</v>
      </c>
      <c r="H307" s="170">
        <v>9</v>
      </c>
      <c r="I307" s="170">
        <v>0</v>
      </c>
      <c r="J307" s="114">
        <v>26910000</v>
      </c>
      <c r="K307" s="121" t="s">
        <v>398</v>
      </c>
      <c r="L307" s="164" t="s">
        <v>158</v>
      </c>
      <c r="M307" s="171" t="s">
        <v>421</v>
      </c>
      <c r="N307" s="97" t="s">
        <v>198</v>
      </c>
      <c r="O307" s="144" t="s">
        <v>887</v>
      </c>
      <c r="P307" s="164" t="s">
        <v>348</v>
      </c>
      <c r="Q307" s="123">
        <v>80111600</v>
      </c>
      <c r="R307" s="171" t="s">
        <v>211</v>
      </c>
      <c r="S307" s="166" t="str">
        <f>MID(PAA[[#This Row],[Meta Proyecto de Inversión]],1,4)</f>
        <v>8173</v>
      </c>
      <c r="T307" s="166" t="str">
        <f>MID(PAA[[#This Row],[Meta Proyecto de Inversión]],6,2)</f>
        <v>2-</v>
      </c>
      <c r="U307" s="167" t="str">
        <f>IFERROR(VLOOKUP(N307,TD!$B$54:$F$58,2,0)," ")</f>
        <v>O230117</v>
      </c>
      <c r="V307" s="167" t="str">
        <f>IFERROR(VLOOKUP(N307,TD!$B$54:$F$58,3,0)," ")</f>
        <v>4503</v>
      </c>
      <c r="W307" s="167">
        <f>IFERROR(VLOOKUP(N307,TD!$B$54:$F$58,4,0)," ")</f>
        <v>20240255</v>
      </c>
      <c r="X307" s="166" t="s">
        <v>164</v>
      </c>
      <c r="Y307" s="167" t="str">
        <f>IFERROR(VLOOKUP(X307,TD!$J$55:$K$68,2,0)," ")</f>
        <v>Servicio de atención a incidentes y emergencias.</v>
      </c>
      <c r="Z307" s="168" t="str">
        <f>CONCATENATE(X307,"-",Y307)</f>
        <v>04-Servicio de atención a incidentes y emergencias.</v>
      </c>
      <c r="AA307" s="166" t="s">
        <v>221</v>
      </c>
      <c r="AB307" s="167" t="str">
        <f>IFERROR(VLOOKUP(AA307,TD!$N$55:$O$70,2,0)," ")</f>
        <v>Servicio de atención a emergencias y desastres</v>
      </c>
      <c r="AC307" s="168" t="str">
        <f>CONCATENATE(AA307,"_",AB307)</f>
        <v>004_Servicio de atención a emergencias y desastres</v>
      </c>
      <c r="AD307" s="168" t="str">
        <f>CONCATENATE(Z307," ",AC307)</f>
        <v>04-Servicio de atención a incidentes y emergencias. 004_Servicio de atención a emergencias y desastres</v>
      </c>
      <c r="AE307" s="167" t="str">
        <f>CONCATENATE(U307,V307,W307,X307,AA307)</f>
        <v>O23011745032024025504004</v>
      </c>
      <c r="AF307" s="167" t="str">
        <f>IFERROR(VLOOKUP(AD307,TD!$J$70:$K$93,2,0)," ")</f>
        <v>PM/0131/0104/45030040255</v>
      </c>
      <c r="AG307" s="114" t="s">
        <v>385</v>
      </c>
      <c r="AH307" s="166" t="s">
        <v>193</v>
      </c>
      <c r="AI307" s="169" t="str">
        <f>CONCATENATE(PAA[[#This Row],[Id Interno]],"-",PAA[[#This Row],[tipo de Contrato (TH talento humano - B/S bienes y/o servicios)]],"-",S307,"-",T307,"-",PAA[[#This Row],[Objeto de la contratación]])</f>
        <v>20260271-TH-8173-2--Prestación de servicios para realizar la gestión administrativa requerida en la estación de bomberos asignada, para el desarrollo de los programas a cargo de la Subdirección Operativa-S.O.</v>
      </c>
    </row>
    <row r="308" spans="2:35" ht="56" x14ac:dyDescent="0.35">
      <c r="B308" s="23">
        <v>20260272</v>
      </c>
      <c r="C308" s="97" t="s">
        <v>813</v>
      </c>
      <c r="D308" s="97" t="s">
        <v>105</v>
      </c>
      <c r="E308" s="97" t="s">
        <v>363</v>
      </c>
      <c r="F308" s="164" t="s">
        <v>145</v>
      </c>
      <c r="G308" s="164" t="s">
        <v>373</v>
      </c>
      <c r="H308" s="170">
        <v>9</v>
      </c>
      <c r="I308" s="170">
        <v>0</v>
      </c>
      <c r="J308" s="114">
        <v>26910000</v>
      </c>
      <c r="K308" s="121" t="s">
        <v>398</v>
      </c>
      <c r="L308" s="164" t="s">
        <v>158</v>
      </c>
      <c r="M308" s="171" t="s">
        <v>421</v>
      </c>
      <c r="N308" s="97" t="s">
        <v>198</v>
      </c>
      <c r="O308" s="144" t="s">
        <v>887</v>
      </c>
      <c r="P308" s="164" t="s">
        <v>348</v>
      </c>
      <c r="Q308" s="123">
        <v>80111600</v>
      </c>
      <c r="R308" s="171" t="s">
        <v>211</v>
      </c>
      <c r="S308" s="166" t="str">
        <f>MID(PAA[[#This Row],[Meta Proyecto de Inversión]],1,4)</f>
        <v>8173</v>
      </c>
      <c r="T308" s="166" t="str">
        <f>MID(PAA[[#This Row],[Meta Proyecto de Inversión]],6,2)</f>
        <v>2-</v>
      </c>
      <c r="U308" s="167" t="str">
        <f>IFERROR(VLOOKUP(N308,TD!$B$54:$F$58,2,0)," ")</f>
        <v>O230117</v>
      </c>
      <c r="V308" s="167" t="str">
        <f>IFERROR(VLOOKUP(N308,TD!$B$54:$F$58,3,0)," ")</f>
        <v>4503</v>
      </c>
      <c r="W308" s="167">
        <f>IFERROR(VLOOKUP(N308,TD!$B$54:$F$58,4,0)," ")</f>
        <v>20240255</v>
      </c>
      <c r="X308" s="166" t="s">
        <v>164</v>
      </c>
      <c r="Y308" s="167" t="str">
        <f>IFERROR(VLOOKUP(X308,TD!$J$55:$K$68,2,0)," ")</f>
        <v>Servicio de atención a incidentes y emergencias.</v>
      </c>
      <c r="Z308" s="168" t="str">
        <f>CONCATENATE(X308,"-",Y308)</f>
        <v>04-Servicio de atención a incidentes y emergencias.</v>
      </c>
      <c r="AA308" s="166" t="s">
        <v>221</v>
      </c>
      <c r="AB308" s="167" t="str">
        <f>IFERROR(VLOOKUP(AA308,TD!$N$55:$O$70,2,0)," ")</f>
        <v>Servicio de atención a emergencias y desastres</v>
      </c>
      <c r="AC308" s="168" t="str">
        <f>CONCATENATE(AA308,"_",AB308)</f>
        <v>004_Servicio de atención a emergencias y desastres</v>
      </c>
      <c r="AD308" s="168" t="str">
        <f>CONCATENATE(Z308," ",AC308)</f>
        <v>04-Servicio de atención a incidentes y emergencias. 004_Servicio de atención a emergencias y desastres</v>
      </c>
      <c r="AE308" s="167" t="str">
        <f>CONCATENATE(U308,V308,W308,X308,AA308)</f>
        <v>O23011745032024025504004</v>
      </c>
      <c r="AF308" s="167" t="str">
        <f>IFERROR(VLOOKUP(AD308,TD!$J$70:$K$93,2,0)," ")</f>
        <v>PM/0131/0104/45030040255</v>
      </c>
      <c r="AG308" s="114" t="s">
        <v>385</v>
      </c>
      <c r="AH308" s="166" t="s">
        <v>193</v>
      </c>
      <c r="AI308" s="169" t="str">
        <f>CONCATENATE(PAA[[#This Row],[Id Interno]],"-",PAA[[#This Row],[tipo de Contrato (TH talento humano - B/S bienes y/o servicios)]],"-",S308,"-",T308,"-",PAA[[#This Row],[Objeto de la contratación]])</f>
        <v>20260272-TH-8173-2--Prestación de servicios para realizar la gestión administrativa requerida en la estación de bomberos asignada, para el desarrollo de los programas a cargo de la Subdirección Operativa-S.O.</v>
      </c>
    </row>
    <row r="309" spans="2:35" ht="56" x14ac:dyDescent="0.35">
      <c r="B309" s="23">
        <v>20260273</v>
      </c>
      <c r="C309" s="97" t="s">
        <v>813</v>
      </c>
      <c r="D309" s="97" t="s">
        <v>105</v>
      </c>
      <c r="E309" s="97" t="s">
        <v>363</v>
      </c>
      <c r="F309" s="164" t="s">
        <v>145</v>
      </c>
      <c r="G309" s="164" t="s">
        <v>373</v>
      </c>
      <c r="H309" s="170">
        <v>9</v>
      </c>
      <c r="I309" s="170">
        <v>0</v>
      </c>
      <c r="J309" s="114">
        <v>26910000</v>
      </c>
      <c r="K309" s="121" t="s">
        <v>398</v>
      </c>
      <c r="L309" s="164" t="s">
        <v>158</v>
      </c>
      <c r="M309" s="171" t="s">
        <v>421</v>
      </c>
      <c r="N309" s="97" t="s">
        <v>198</v>
      </c>
      <c r="O309" s="144" t="s">
        <v>887</v>
      </c>
      <c r="P309" s="164" t="s">
        <v>348</v>
      </c>
      <c r="Q309" s="123">
        <v>80111600</v>
      </c>
      <c r="R309" s="171" t="s">
        <v>211</v>
      </c>
      <c r="S309" s="166" t="str">
        <f>MID(PAA[[#This Row],[Meta Proyecto de Inversión]],1,4)</f>
        <v>8173</v>
      </c>
      <c r="T309" s="166" t="str">
        <f>MID(PAA[[#This Row],[Meta Proyecto de Inversión]],6,2)</f>
        <v>2-</v>
      </c>
      <c r="U309" s="167" t="str">
        <f>IFERROR(VLOOKUP(N309,TD!$B$54:$F$58,2,0)," ")</f>
        <v>O230117</v>
      </c>
      <c r="V309" s="167" t="str">
        <f>IFERROR(VLOOKUP(N309,TD!$B$54:$F$58,3,0)," ")</f>
        <v>4503</v>
      </c>
      <c r="W309" s="167">
        <f>IFERROR(VLOOKUP(N309,TD!$B$54:$F$58,4,0)," ")</f>
        <v>20240255</v>
      </c>
      <c r="X309" s="166" t="s">
        <v>164</v>
      </c>
      <c r="Y309" s="167" t="str">
        <f>IFERROR(VLOOKUP(X309,TD!$J$55:$K$68,2,0)," ")</f>
        <v>Servicio de atención a incidentes y emergencias.</v>
      </c>
      <c r="Z309" s="168" t="str">
        <f>CONCATENATE(X309,"-",Y309)</f>
        <v>04-Servicio de atención a incidentes y emergencias.</v>
      </c>
      <c r="AA309" s="166" t="s">
        <v>221</v>
      </c>
      <c r="AB309" s="167" t="str">
        <f>IFERROR(VLOOKUP(AA309,TD!$N$55:$O$70,2,0)," ")</f>
        <v>Servicio de atención a emergencias y desastres</v>
      </c>
      <c r="AC309" s="168" t="str">
        <f>CONCATENATE(AA309,"_",AB309)</f>
        <v>004_Servicio de atención a emergencias y desastres</v>
      </c>
      <c r="AD309" s="168" t="str">
        <f>CONCATENATE(Z309," ",AC309)</f>
        <v>04-Servicio de atención a incidentes y emergencias. 004_Servicio de atención a emergencias y desastres</v>
      </c>
      <c r="AE309" s="167" t="str">
        <f>CONCATENATE(U309,V309,W309,X309,AA309)</f>
        <v>O23011745032024025504004</v>
      </c>
      <c r="AF309" s="167" t="str">
        <f>IFERROR(VLOOKUP(AD309,TD!$J$70:$K$93,2,0)," ")</f>
        <v>PM/0131/0104/45030040255</v>
      </c>
      <c r="AG309" s="114" t="s">
        <v>385</v>
      </c>
      <c r="AH309" s="166" t="s">
        <v>193</v>
      </c>
      <c r="AI309" s="169" t="str">
        <f>CONCATENATE(PAA[[#This Row],[Id Interno]],"-",PAA[[#This Row],[tipo de Contrato (TH talento humano - B/S bienes y/o servicios)]],"-",S309,"-",T309,"-",PAA[[#This Row],[Objeto de la contratación]])</f>
        <v>20260273-TH-8173-2--Prestación de servicios para realizar la gestión administrativa requerida en la estación de bomberos asignada, para el desarrollo de los programas a cargo de la Subdirección Operativa-S.O.</v>
      </c>
    </row>
    <row r="310" spans="2:35" ht="35.5" customHeight="1" x14ac:dyDescent="0.35">
      <c r="B310" s="23">
        <v>20260274</v>
      </c>
      <c r="C310" s="97" t="s">
        <v>813</v>
      </c>
      <c r="D310" s="97" t="s">
        <v>105</v>
      </c>
      <c r="E310" s="97" t="s">
        <v>363</v>
      </c>
      <c r="F310" s="164" t="s">
        <v>145</v>
      </c>
      <c r="G310" s="164" t="s">
        <v>373</v>
      </c>
      <c r="H310" s="170">
        <v>9</v>
      </c>
      <c r="I310" s="170">
        <v>0</v>
      </c>
      <c r="J310" s="114">
        <v>26910000</v>
      </c>
      <c r="K310" s="121" t="s">
        <v>398</v>
      </c>
      <c r="L310" s="164" t="s">
        <v>158</v>
      </c>
      <c r="M310" s="171" t="s">
        <v>421</v>
      </c>
      <c r="N310" s="97" t="s">
        <v>198</v>
      </c>
      <c r="O310" s="144" t="s">
        <v>887</v>
      </c>
      <c r="P310" s="164" t="s">
        <v>348</v>
      </c>
      <c r="Q310" s="123">
        <v>80111600</v>
      </c>
      <c r="R310" s="171" t="s">
        <v>211</v>
      </c>
      <c r="S310" s="166" t="str">
        <f>MID(PAA[[#This Row],[Meta Proyecto de Inversión]],1,4)</f>
        <v>8173</v>
      </c>
      <c r="T310" s="166" t="str">
        <f>MID(PAA[[#This Row],[Meta Proyecto de Inversión]],6,2)</f>
        <v>2-</v>
      </c>
      <c r="U310" s="167" t="str">
        <f>IFERROR(VLOOKUP(N310,TD!$B$54:$F$58,2,0)," ")</f>
        <v>O230117</v>
      </c>
      <c r="V310" s="167" t="str">
        <f>IFERROR(VLOOKUP(N310,TD!$B$54:$F$58,3,0)," ")</f>
        <v>4503</v>
      </c>
      <c r="W310" s="167">
        <f>IFERROR(VLOOKUP(N310,TD!$B$54:$F$58,4,0)," ")</f>
        <v>20240255</v>
      </c>
      <c r="X310" s="166" t="s">
        <v>164</v>
      </c>
      <c r="Y310" s="167" t="str">
        <f>IFERROR(VLOOKUP(X310,TD!$J$55:$K$68,2,0)," ")</f>
        <v>Servicio de atención a incidentes y emergencias.</v>
      </c>
      <c r="Z310" s="168" t="str">
        <f>CONCATENATE(X310,"-",Y310)</f>
        <v>04-Servicio de atención a incidentes y emergencias.</v>
      </c>
      <c r="AA310" s="166" t="s">
        <v>221</v>
      </c>
      <c r="AB310" s="167" t="str">
        <f>IFERROR(VLOOKUP(AA310,TD!$N$55:$O$70,2,0)," ")</f>
        <v>Servicio de atención a emergencias y desastres</v>
      </c>
      <c r="AC310" s="168" t="str">
        <f>CONCATENATE(AA310,"_",AB310)</f>
        <v>004_Servicio de atención a emergencias y desastres</v>
      </c>
      <c r="AD310" s="168" t="str">
        <f>CONCATENATE(Z310," ",AC310)</f>
        <v>04-Servicio de atención a incidentes y emergencias. 004_Servicio de atención a emergencias y desastres</v>
      </c>
      <c r="AE310" s="167" t="str">
        <f>CONCATENATE(U310,V310,W310,X310,AA310)</f>
        <v>O23011745032024025504004</v>
      </c>
      <c r="AF310" s="167" t="str">
        <f>IFERROR(VLOOKUP(AD310,TD!$J$70:$K$93,2,0)," ")</f>
        <v>PM/0131/0104/45030040255</v>
      </c>
      <c r="AG310" s="114" t="s">
        <v>385</v>
      </c>
      <c r="AH310" s="166" t="s">
        <v>193</v>
      </c>
      <c r="AI310" s="169" t="str">
        <f>CONCATENATE(PAA[[#This Row],[Id Interno]],"-",PAA[[#This Row],[tipo de Contrato (TH talento humano - B/S bienes y/o servicios)]],"-",S310,"-",T310,"-",PAA[[#This Row],[Objeto de la contratación]])</f>
        <v>20260274-TH-8173-2--Prestación de servicios para realizar la gestión administrativa requerida en la estación de bomberos asignada, para el desarrollo de los programas a cargo de la Subdirección Operativa-S.O.</v>
      </c>
    </row>
    <row r="311" spans="2:35" ht="56" x14ac:dyDescent="0.35">
      <c r="B311" s="23">
        <v>20260275</v>
      </c>
      <c r="C311" s="97" t="s">
        <v>813</v>
      </c>
      <c r="D311" s="97" t="s">
        <v>105</v>
      </c>
      <c r="E311" s="97" t="s">
        <v>363</v>
      </c>
      <c r="F311" s="164" t="s">
        <v>145</v>
      </c>
      <c r="G311" s="164" t="s">
        <v>373</v>
      </c>
      <c r="H311" s="170">
        <v>9</v>
      </c>
      <c r="I311" s="170">
        <v>0</v>
      </c>
      <c r="J311" s="114">
        <v>26910000</v>
      </c>
      <c r="K311" s="121" t="s">
        <v>398</v>
      </c>
      <c r="L311" s="164" t="s">
        <v>158</v>
      </c>
      <c r="M311" s="171" t="s">
        <v>421</v>
      </c>
      <c r="N311" s="97" t="s">
        <v>198</v>
      </c>
      <c r="O311" s="144" t="s">
        <v>887</v>
      </c>
      <c r="P311" s="164" t="s">
        <v>348</v>
      </c>
      <c r="Q311" s="123">
        <v>80111600</v>
      </c>
      <c r="R311" s="171" t="s">
        <v>211</v>
      </c>
      <c r="S311" s="166" t="str">
        <f>MID(PAA[[#This Row],[Meta Proyecto de Inversión]],1,4)</f>
        <v>8173</v>
      </c>
      <c r="T311" s="166" t="str">
        <f>MID(PAA[[#This Row],[Meta Proyecto de Inversión]],6,2)</f>
        <v>2-</v>
      </c>
      <c r="U311" s="167" t="str">
        <f>IFERROR(VLOOKUP(N311,TD!$B$54:$F$58,2,0)," ")</f>
        <v>O230117</v>
      </c>
      <c r="V311" s="167" t="str">
        <f>IFERROR(VLOOKUP(N311,TD!$B$54:$F$58,3,0)," ")</f>
        <v>4503</v>
      </c>
      <c r="W311" s="167">
        <f>IFERROR(VLOOKUP(N311,TD!$B$54:$F$58,4,0)," ")</f>
        <v>20240255</v>
      </c>
      <c r="X311" s="166" t="s">
        <v>164</v>
      </c>
      <c r="Y311" s="167" t="str">
        <f>IFERROR(VLOOKUP(X311,TD!$J$55:$K$68,2,0)," ")</f>
        <v>Servicio de atención a incidentes y emergencias.</v>
      </c>
      <c r="Z311" s="168" t="str">
        <f>CONCATENATE(X311,"-",Y311)</f>
        <v>04-Servicio de atención a incidentes y emergencias.</v>
      </c>
      <c r="AA311" s="166" t="s">
        <v>221</v>
      </c>
      <c r="AB311" s="167" t="str">
        <f>IFERROR(VLOOKUP(AA311,TD!$N$55:$O$70,2,0)," ")</f>
        <v>Servicio de atención a emergencias y desastres</v>
      </c>
      <c r="AC311" s="168" t="str">
        <f>CONCATENATE(AA311,"_",AB311)</f>
        <v>004_Servicio de atención a emergencias y desastres</v>
      </c>
      <c r="AD311" s="168" t="str">
        <f>CONCATENATE(Z311," ",AC311)</f>
        <v>04-Servicio de atención a incidentes y emergencias. 004_Servicio de atención a emergencias y desastres</v>
      </c>
      <c r="AE311" s="167" t="str">
        <f>CONCATENATE(U311,V311,W311,X311,AA311)</f>
        <v>O23011745032024025504004</v>
      </c>
      <c r="AF311" s="167" t="str">
        <f>IFERROR(VLOOKUP(AD311,TD!$J$70:$K$93,2,0)," ")</f>
        <v>PM/0131/0104/45030040255</v>
      </c>
      <c r="AG311" s="114" t="s">
        <v>385</v>
      </c>
      <c r="AH311" s="166" t="s">
        <v>193</v>
      </c>
      <c r="AI311" s="169" t="str">
        <f>CONCATENATE(PAA[[#This Row],[Id Interno]],"-",PAA[[#This Row],[tipo de Contrato (TH talento humano - B/S bienes y/o servicios)]],"-",S311,"-",T311,"-",PAA[[#This Row],[Objeto de la contratación]])</f>
        <v>20260275-TH-8173-2--Prestación de servicios para realizar la gestión administrativa requerida en la estación de bomberos asignada, para el desarrollo de los programas a cargo de la Subdirección Operativa-S.O.</v>
      </c>
    </row>
    <row r="312" spans="2:35" ht="56" x14ac:dyDescent="0.35">
      <c r="B312" s="23">
        <v>20260276</v>
      </c>
      <c r="C312" s="97" t="s">
        <v>813</v>
      </c>
      <c r="D312" s="97" t="s">
        <v>105</v>
      </c>
      <c r="E312" s="97" t="s">
        <v>363</v>
      </c>
      <c r="F312" s="164" t="s">
        <v>145</v>
      </c>
      <c r="G312" s="164" t="s">
        <v>373</v>
      </c>
      <c r="H312" s="170">
        <v>9</v>
      </c>
      <c r="I312" s="170">
        <v>0</v>
      </c>
      <c r="J312" s="114">
        <v>26910000</v>
      </c>
      <c r="K312" s="121" t="s">
        <v>398</v>
      </c>
      <c r="L312" s="164" t="s">
        <v>158</v>
      </c>
      <c r="M312" s="171" t="s">
        <v>421</v>
      </c>
      <c r="N312" s="97" t="s">
        <v>198</v>
      </c>
      <c r="O312" s="144" t="s">
        <v>887</v>
      </c>
      <c r="P312" s="164" t="s">
        <v>348</v>
      </c>
      <c r="Q312" s="123">
        <v>80111600</v>
      </c>
      <c r="R312" s="171" t="s">
        <v>211</v>
      </c>
      <c r="S312" s="166" t="str">
        <f>MID(PAA[[#This Row],[Meta Proyecto de Inversión]],1,4)</f>
        <v>8173</v>
      </c>
      <c r="T312" s="166" t="str">
        <f>MID(PAA[[#This Row],[Meta Proyecto de Inversión]],6,2)</f>
        <v>2-</v>
      </c>
      <c r="U312" s="167" t="str">
        <f>IFERROR(VLOOKUP(N312,TD!$B$54:$F$58,2,0)," ")</f>
        <v>O230117</v>
      </c>
      <c r="V312" s="167" t="str">
        <f>IFERROR(VLOOKUP(N312,TD!$B$54:$F$58,3,0)," ")</f>
        <v>4503</v>
      </c>
      <c r="W312" s="167">
        <f>IFERROR(VLOOKUP(N312,TD!$B$54:$F$58,4,0)," ")</f>
        <v>20240255</v>
      </c>
      <c r="X312" s="166" t="s">
        <v>164</v>
      </c>
      <c r="Y312" s="167" t="str">
        <f>IFERROR(VLOOKUP(X312,TD!$J$55:$K$68,2,0)," ")</f>
        <v>Servicio de atención a incidentes y emergencias.</v>
      </c>
      <c r="Z312" s="168" t="str">
        <f>CONCATENATE(X312,"-",Y312)</f>
        <v>04-Servicio de atención a incidentes y emergencias.</v>
      </c>
      <c r="AA312" s="166" t="s">
        <v>221</v>
      </c>
      <c r="AB312" s="167" t="str">
        <f>IFERROR(VLOOKUP(AA312,TD!$N$55:$O$70,2,0)," ")</f>
        <v>Servicio de atención a emergencias y desastres</v>
      </c>
      <c r="AC312" s="168" t="str">
        <f>CONCATENATE(AA312,"_",AB312)</f>
        <v>004_Servicio de atención a emergencias y desastres</v>
      </c>
      <c r="AD312" s="168" t="str">
        <f>CONCATENATE(Z312," ",AC312)</f>
        <v>04-Servicio de atención a incidentes y emergencias. 004_Servicio de atención a emergencias y desastres</v>
      </c>
      <c r="AE312" s="167" t="str">
        <f>CONCATENATE(U312,V312,W312,X312,AA312)</f>
        <v>O23011745032024025504004</v>
      </c>
      <c r="AF312" s="167" t="str">
        <f>IFERROR(VLOOKUP(AD312,TD!$J$70:$K$93,2,0)," ")</f>
        <v>PM/0131/0104/45030040255</v>
      </c>
      <c r="AG312" s="114" t="s">
        <v>385</v>
      </c>
      <c r="AH312" s="166" t="s">
        <v>193</v>
      </c>
      <c r="AI312" s="169" t="str">
        <f>CONCATENATE(PAA[[#This Row],[Id Interno]],"-",PAA[[#This Row],[tipo de Contrato (TH talento humano - B/S bienes y/o servicios)]],"-",S312,"-",T312,"-",PAA[[#This Row],[Objeto de la contratación]])</f>
        <v>20260276-TH-8173-2--Prestación de servicios para realizar la gestión administrativa requerida en la estación de bomberos asignada, para el desarrollo de los programas a cargo de la Subdirección Operativa-S.O.</v>
      </c>
    </row>
    <row r="313" spans="2:35" s="56" customFormat="1" ht="56" x14ac:dyDescent="0.35">
      <c r="B313" s="23">
        <v>20260277</v>
      </c>
      <c r="C313" s="97" t="s">
        <v>813</v>
      </c>
      <c r="D313" s="97" t="s">
        <v>105</v>
      </c>
      <c r="E313" s="97" t="s">
        <v>363</v>
      </c>
      <c r="F313" s="164" t="s">
        <v>145</v>
      </c>
      <c r="G313" s="164" t="s">
        <v>373</v>
      </c>
      <c r="H313" s="170">
        <v>9</v>
      </c>
      <c r="I313" s="170">
        <v>0</v>
      </c>
      <c r="J313" s="114">
        <v>26910000</v>
      </c>
      <c r="K313" s="121" t="s">
        <v>398</v>
      </c>
      <c r="L313" s="164" t="s">
        <v>158</v>
      </c>
      <c r="M313" s="171" t="s">
        <v>421</v>
      </c>
      <c r="N313" s="97" t="s">
        <v>198</v>
      </c>
      <c r="O313" s="144" t="s">
        <v>887</v>
      </c>
      <c r="P313" s="164" t="s">
        <v>348</v>
      </c>
      <c r="Q313" s="123">
        <v>80111600</v>
      </c>
      <c r="R313" s="171" t="s">
        <v>211</v>
      </c>
      <c r="S313" s="166" t="str">
        <f>MID(PAA[[#This Row],[Meta Proyecto de Inversión]],1,4)</f>
        <v>8173</v>
      </c>
      <c r="T313" s="166" t="str">
        <f>MID(PAA[[#This Row],[Meta Proyecto de Inversión]],6,2)</f>
        <v>2-</v>
      </c>
      <c r="U313" s="167" t="str">
        <f>IFERROR(VLOOKUP(N313,TD!$B$54:$F$58,2,0)," ")</f>
        <v>O230117</v>
      </c>
      <c r="V313" s="167" t="str">
        <f>IFERROR(VLOOKUP(N313,TD!$B$54:$F$58,3,0)," ")</f>
        <v>4503</v>
      </c>
      <c r="W313" s="167">
        <f>IFERROR(VLOOKUP(N313,TD!$B$54:$F$58,4,0)," ")</f>
        <v>20240255</v>
      </c>
      <c r="X313" s="166" t="s">
        <v>164</v>
      </c>
      <c r="Y313" s="167" t="str">
        <f>IFERROR(VLOOKUP(X313,TD!$J$55:$K$68,2,0)," ")</f>
        <v>Servicio de atención a incidentes y emergencias.</v>
      </c>
      <c r="Z313" s="168" t="str">
        <f>CONCATENATE(X313,"-",Y313)</f>
        <v>04-Servicio de atención a incidentes y emergencias.</v>
      </c>
      <c r="AA313" s="166" t="s">
        <v>221</v>
      </c>
      <c r="AB313" s="167" t="str">
        <f>IFERROR(VLOOKUP(AA313,TD!$N$55:$O$70,2,0)," ")</f>
        <v>Servicio de atención a emergencias y desastres</v>
      </c>
      <c r="AC313" s="168" t="str">
        <f>CONCATENATE(AA313,"_",AB313)</f>
        <v>004_Servicio de atención a emergencias y desastres</v>
      </c>
      <c r="AD313" s="168" t="str">
        <f>CONCATENATE(Z313," ",AC313)</f>
        <v>04-Servicio de atención a incidentes y emergencias. 004_Servicio de atención a emergencias y desastres</v>
      </c>
      <c r="AE313" s="167" t="str">
        <f>CONCATENATE(U313,V313,W313,X313,AA313)</f>
        <v>O23011745032024025504004</v>
      </c>
      <c r="AF313" s="167" t="str">
        <f>IFERROR(VLOOKUP(AD313,TD!$J$70:$K$93,2,0)," ")</f>
        <v>PM/0131/0104/45030040255</v>
      </c>
      <c r="AG313" s="114" t="s">
        <v>385</v>
      </c>
      <c r="AH313" s="166" t="s">
        <v>193</v>
      </c>
      <c r="AI313" s="169" t="str">
        <f>CONCATENATE(PAA[[#This Row],[Id Interno]],"-",PAA[[#This Row],[tipo de Contrato (TH talento humano - B/S bienes y/o servicios)]],"-",S313,"-",T313,"-",PAA[[#This Row],[Objeto de la contratación]])</f>
        <v>20260277-TH-8173-2--Prestación de servicios para realizar la gestión administrativa requerida en la estación de bomberos asignada, para el desarrollo de los programas a cargo de la Subdirección Operativa-S.O.</v>
      </c>
    </row>
    <row r="314" spans="2:35" s="56" customFormat="1" ht="56" x14ac:dyDescent="0.35">
      <c r="B314" s="23">
        <v>20260278</v>
      </c>
      <c r="C314" s="97" t="s">
        <v>813</v>
      </c>
      <c r="D314" s="97" t="s">
        <v>105</v>
      </c>
      <c r="E314" s="97" t="s">
        <v>363</v>
      </c>
      <c r="F314" s="164" t="s">
        <v>145</v>
      </c>
      <c r="G314" s="164" t="s">
        <v>373</v>
      </c>
      <c r="H314" s="170">
        <v>9</v>
      </c>
      <c r="I314" s="170">
        <v>0</v>
      </c>
      <c r="J314" s="114">
        <v>26910000</v>
      </c>
      <c r="K314" s="121" t="s">
        <v>398</v>
      </c>
      <c r="L314" s="164" t="s">
        <v>158</v>
      </c>
      <c r="M314" s="171" t="s">
        <v>421</v>
      </c>
      <c r="N314" s="97" t="s">
        <v>198</v>
      </c>
      <c r="O314" s="144" t="s">
        <v>887</v>
      </c>
      <c r="P314" s="164" t="s">
        <v>348</v>
      </c>
      <c r="Q314" s="123">
        <v>80111600</v>
      </c>
      <c r="R314" s="171" t="s">
        <v>211</v>
      </c>
      <c r="S314" s="166" t="str">
        <f>MID(PAA[[#This Row],[Meta Proyecto de Inversión]],1,4)</f>
        <v>8173</v>
      </c>
      <c r="T314" s="166" t="str">
        <f>MID(PAA[[#This Row],[Meta Proyecto de Inversión]],6,2)</f>
        <v>2-</v>
      </c>
      <c r="U314" s="167" t="str">
        <f>IFERROR(VLOOKUP(N314,TD!$B$54:$F$58,2,0)," ")</f>
        <v>O230117</v>
      </c>
      <c r="V314" s="167" t="str">
        <f>IFERROR(VLOOKUP(N314,TD!$B$54:$F$58,3,0)," ")</f>
        <v>4503</v>
      </c>
      <c r="W314" s="167">
        <f>IFERROR(VLOOKUP(N314,TD!$B$54:$F$58,4,0)," ")</f>
        <v>20240255</v>
      </c>
      <c r="X314" s="166" t="s">
        <v>164</v>
      </c>
      <c r="Y314" s="167" t="str">
        <f>IFERROR(VLOOKUP(X314,TD!$J$55:$K$68,2,0)," ")</f>
        <v>Servicio de atención a incidentes y emergencias.</v>
      </c>
      <c r="Z314" s="168" t="str">
        <f>CONCATENATE(X314,"-",Y314)</f>
        <v>04-Servicio de atención a incidentes y emergencias.</v>
      </c>
      <c r="AA314" s="166" t="s">
        <v>221</v>
      </c>
      <c r="AB314" s="167" t="str">
        <f>IFERROR(VLOOKUP(AA314,TD!$N$55:$O$70,2,0)," ")</f>
        <v>Servicio de atención a emergencias y desastres</v>
      </c>
      <c r="AC314" s="168" t="str">
        <f>CONCATENATE(AA314,"_",AB314)</f>
        <v>004_Servicio de atención a emergencias y desastres</v>
      </c>
      <c r="AD314" s="168" t="str">
        <f>CONCATENATE(Z314," ",AC314)</f>
        <v>04-Servicio de atención a incidentes y emergencias. 004_Servicio de atención a emergencias y desastres</v>
      </c>
      <c r="AE314" s="167" t="str">
        <f>CONCATENATE(U314,V314,W314,X314,AA314)</f>
        <v>O23011745032024025504004</v>
      </c>
      <c r="AF314" s="167" t="str">
        <f>IFERROR(VLOOKUP(AD314,TD!$J$70:$K$93,2,0)," ")</f>
        <v>PM/0131/0104/45030040255</v>
      </c>
      <c r="AG314" s="114" t="s">
        <v>385</v>
      </c>
      <c r="AH314" s="166" t="s">
        <v>193</v>
      </c>
      <c r="AI314" s="169" t="str">
        <f>CONCATENATE(PAA[[#This Row],[Id Interno]],"-",PAA[[#This Row],[tipo de Contrato (TH talento humano - B/S bienes y/o servicios)]],"-",S314,"-",T314,"-",PAA[[#This Row],[Objeto de la contratación]])</f>
        <v>20260278-TH-8173-2--Prestación de servicios para realizar la gestión administrativa requerida en la estación de bomberos asignada, para el desarrollo de los programas a cargo de la Subdirección Operativa-S.O.</v>
      </c>
    </row>
    <row r="315" spans="2:35" s="56" customFormat="1" ht="56" x14ac:dyDescent="0.35">
      <c r="B315" s="97">
        <v>20260279</v>
      </c>
      <c r="C315" s="97" t="s">
        <v>814</v>
      </c>
      <c r="D315" s="97" t="s">
        <v>105</v>
      </c>
      <c r="E315" s="97" t="s">
        <v>363</v>
      </c>
      <c r="F315" s="164" t="s">
        <v>145</v>
      </c>
      <c r="G315" s="164" t="s">
        <v>373</v>
      </c>
      <c r="H315" s="170">
        <v>9</v>
      </c>
      <c r="I315" s="170">
        <v>0</v>
      </c>
      <c r="J315" s="114">
        <v>29558952</v>
      </c>
      <c r="K315" s="121" t="s">
        <v>398</v>
      </c>
      <c r="L315" s="164" t="s">
        <v>158</v>
      </c>
      <c r="M315" s="171" t="s">
        <v>421</v>
      </c>
      <c r="N315" s="97" t="s">
        <v>198</v>
      </c>
      <c r="O315" s="144" t="s">
        <v>887</v>
      </c>
      <c r="P315" s="164" t="s">
        <v>348</v>
      </c>
      <c r="Q315" s="123">
        <v>80111600</v>
      </c>
      <c r="R315" s="171" t="s">
        <v>211</v>
      </c>
      <c r="S315" s="166" t="str">
        <f>MID(PAA[[#This Row],[Meta Proyecto de Inversión]],1,4)</f>
        <v>8173</v>
      </c>
      <c r="T315" s="166" t="str">
        <f>MID(PAA[[#This Row],[Meta Proyecto de Inversión]],6,2)</f>
        <v>2-</v>
      </c>
      <c r="U315" s="167" t="str">
        <f>IFERROR(VLOOKUP(N315,TD!$B$54:$F$58,2,0)," ")</f>
        <v>O230117</v>
      </c>
      <c r="V315" s="167" t="str">
        <f>IFERROR(VLOOKUP(N315,TD!$B$54:$F$58,3,0)," ")</f>
        <v>4503</v>
      </c>
      <c r="W315" s="167">
        <f>IFERROR(VLOOKUP(N315,TD!$B$54:$F$58,4,0)," ")</f>
        <v>20240255</v>
      </c>
      <c r="X315" s="166" t="s">
        <v>164</v>
      </c>
      <c r="Y315" s="167" t="str">
        <f>IFERROR(VLOOKUP(X315,TD!$J$55:$K$68,2,0)," ")</f>
        <v>Servicio de atención a incidentes y emergencias.</v>
      </c>
      <c r="Z315" s="168" t="str">
        <f>CONCATENATE(X315,"-",Y315)</f>
        <v>04-Servicio de atención a incidentes y emergencias.</v>
      </c>
      <c r="AA315" s="166" t="s">
        <v>221</v>
      </c>
      <c r="AB315" s="167" t="str">
        <f>IFERROR(VLOOKUP(AA315,TD!$N$55:$O$70,2,0)," ")</f>
        <v>Servicio de atención a emergencias y desastres</v>
      </c>
      <c r="AC315" s="168" t="str">
        <f>CONCATENATE(AA315,"_",AB315)</f>
        <v>004_Servicio de atención a emergencias y desastres</v>
      </c>
      <c r="AD315" s="168" t="str">
        <f>CONCATENATE(Z315," ",AC315)</f>
        <v>04-Servicio de atención a incidentes y emergencias. 004_Servicio de atención a emergencias y desastres</v>
      </c>
      <c r="AE315" s="167" t="str">
        <f>CONCATENATE(U315,V315,W315,X315,AA315)</f>
        <v>O23011745032024025504004</v>
      </c>
      <c r="AF315" s="167" t="str">
        <f>IFERROR(VLOOKUP(AD315,TD!$J$70:$K$93,2,0)," ")</f>
        <v>PM/0131/0104/45030040255</v>
      </c>
      <c r="AG315" s="114" t="s">
        <v>385</v>
      </c>
      <c r="AH315" s="166" t="s">
        <v>193</v>
      </c>
      <c r="AI315" s="169" t="str">
        <f>CONCATENATE(PAA[[#This Row],[Id Interno]],"-",PAA[[#This Row],[tipo de Contrato (TH talento humano - B/S bienes y/o servicios)]],"-",S315,"-",T315,"-",PAA[[#This Row],[Objeto de la contratación]])</f>
        <v>20260279-TH-8173-2--Prestación de servicios para la gestión administrativa y documental realizando los reportes requeridos para el desarrollo de los programas a cargo de la Subdirección Operativa-S.O.</v>
      </c>
    </row>
    <row r="316" spans="2:35" s="56" customFormat="1" ht="56" x14ac:dyDescent="0.35">
      <c r="B316" s="23">
        <v>20260280</v>
      </c>
      <c r="C316" s="97" t="s">
        <v>815</v>
      </c>
      <c r="D316" s="97" t="s">
        <v>105</v>
      </c>
      <c r="E316" s="97" t="s">
        <v>363</v>
      </c>
      <c r="F316" s="164" t="s">
        <v>144</v>
      </c>
      <c r="G316" s="164" t="s">
        <v>373</v>
      </c>
      <c r="H316" s="170">
        <v>9</v>
      </c>
      <c r="I316" s="170">
        <v>0</v>
      </c>
      <c r="J316" s="114">
        <v>45000000</v>
      </c>
      <c r="K316" s="121" t="s">
        <v>398</v>
      </c>
      <c r="L316" s="164" t="s">
        <v>158</v>
      </c>
      <c r="M316" s="171" t="s">
        <v>421</v>
      </c>
      <c r="N316" s="97" t="s">
        <v>198</v>
      </c>
      <c r="O316" s="144" t="s">
        <v>887</v>
      </c>
      <c r="P316" s="164" t="s">
        <v>348</v>
      </c>
      <c r="Q316" s="123">
        <v>80111600</v>
      </c>
      <c r="R316" s="171" t="s">
        <v>211</v>
      </c>
      <c r="S316" s="166" t="str">
        <f>MID(PAA[[#This Row],[Meta Proyecto de Inversión]],1,4)</f>
        <v>8173</v>
      </c>
      <c r="T316" s="166" t="str">
        <f>MID(PAA[[#This Row],[Meta Proyecto de Inversión]],6,2)</f>
        <v>2-</v>
      </c>
      <c r="U316" s="167" t="str">
        <f>IFERROR(VLOOKUP(N316,TD!$B$54:$F$58,2,0)," ")</f>
        <v>O230117</v>
      </c>
      <c r="V316" s="167" t="str">
        <f>IFERROR(VLOOKUP(N316,TD!$B$54:$F$58,3,0)," ")</f>
        <v>4503</v>
      </c>
      <c r="W316" s="167">
        <f>IFERROR(VLOOKUP(N316,TD!$B$54:$F$58,4,0)," ")</f>
        <v>20240255</v>
      </c>
      <c r="X316" s="166" t="s">
        <v>164</v>
      </c>
      <c r="Y316" s="167" t="str">
        <f>IFERROR(VLOOKUP(X316,TD!$J$55:$K$68,2,0)," ")</f>
        <v>Servicio de atención a incidentes y emergencias.</v>
      </c>
      <c r="Z316" s="168" t="str">
        <f>CONCATENATE(X316,"-",Y316)</f>
        <v>04-Servicio de atención a incidentes y emergencias.</v>
      </c>
      <c r="AA316" s="166" t="s">
        <v>221</v>
      </c>
      <c r="AB316" s="167" t="str">
        <f>IFERROR(VLOOKUP(AA316,TD!$N$55:$O$70,2,0)," ")</f>
        <v>Servicio de atención a emergencias y desastres</v>
      </c>
      <c r="AC316" s="168" t="str">
        <f>CONCATENATE(AA316,"_",AB316)</f>
        <v>004_Servicio de atención a emergencias y desastres</v>
      </c>
      <c r="AD316" s="168" t="str">
        <f>CONCATENATE(Z316," ",AC316)</f>
        <v>04-Servicio de atención a incidentes y emergencias. 004_Servicio de atención a emergencias y desastres</v>
      </c>
      <c r="AE316" s="167" t="str">
        <f>CONCATENATE(U316,V316,W316,X316,AA316)</f>
        <v>O23011745032024025504004</v>
      </c>
      <c r="AF316" s="167" t="str">
        <f>IFERROR(VLOOKUP(AD316,TD!$J$70:$K$93,2,0)," ")</f>
        <v>PM/0131/0104/45030040255</v>
      </c>
      <c r="AG316" s="114" t="s">
        <v>385</v>
      </c>
      <c r="AH316" s="166" t="s">
        <v>193</v>
      </c>
      <c r="AI316" s="169" t="str">
        <f>CONCATENATE(PAA[[#This Row],[Id Interno]],"-",PAA[[#This Row],[tipo de Contrato (TH talento humano - B/S bienes y/o servicios)]],"-",S316,"-",T316,"-",PAA[[#This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317" spans="2:35" ht="70" x14ac:dyDescent="0.35">
      <c r="B317" s="23">
        <v>20260281</v>
      </c>
      <c r="C317" s="97" t="s">
        <v>815</v>
      </c>
      <c r="D317" s="97" t="s">
        <v>105</v>
      </c>
      <c r="E317" s="97" t="s">
        <v>363</v>
      </c>
      <c r="F317" s="164" t="s">
        <v>144</v>
      </c>
      <c r="G317" s="164" t="s">
        <v>373</v>
      </c>
      <c r="H317" s="170">
        <v>9</v>
      </c>
      <c r="I317" s="170">
        <v>0</v>
      </c>
      <c r="J317" s="114">
        <v>45000000</v>
      </c>
      <c r="K317" s="121" t="s">
        <v>398</v>
      </c>
      <c r="L317" s="164" t="s">
        <v>158</v>
      </c>
      <c r="M317" s="171" t="s">
        <v>421</v>
      </c>
      <c r="N317" s="97" t="s">
        <v>198</v>
      </c>
      <c r="O317" s="144" t="s">
        <v>887</v>
      </c>
      <c r="P317" s="164" t="s">
        <v>348</v>
      </c>
      <c r="Q317" s="123">
        <v>80111600</v>
      </c>
      <c r="R317" s="171" t="s">
        <v>211</v>
      </c>
      <c r="S317" s="166" t="str">
        <f>MID(PAA[[#This Row],[Meta Proyecto de Inversión]],1,4)</f>
        <v>8173</v>
      </c>
      <c r="T317" s="166" t="str">
        <f>MID(PAA[[#This Row],[Meta Proyecto de Inversión]],6,2)</f>
        <v>2-</v>
      </c>
      <c r="U317" s="167" t="str">
        <f>IFERROR(VLOOKUP(N317,TD!$B$54:$F$58,2,0)," ")</f>
        <v>O230117</v>
      </c>
      <c r="V317" s="167" t="str">
        <f>IFERROR(VLOOKUP(N317,TD!$B$54:$F$58,3,0)," ")</f>
        <v>4503</v>
      </c>
      <c r="W317" s="167">
        <f>IFERROR(VLOOKUP(N317,TD!$B$54:$F$58,4,0)," ")</f>
        <v>20240255</v>
      </c>
      <c r="X317" s="166" t="s">
        <v>164</v>
      </c>
      <c r="Y317" s="167" t="str">
        <f>IFERROR(VLOOKUP(X317,TD!$J$55:$K$68,2,0)," ")</f>
        <v>Servicio de atención a incidentes y emergencias.</v>
      </c>
      <c r="Z317" s="168" t="str">
        <f>CONCATENATE(X317,"-",Y317)</f>
        <v>04-Servicio de atención a incidentes y emergencias.</v>
      </c>
      <c r="AA317" s="166" t="s">
        <v>221</v>
      </c>
      <c r="AB317" s="167" t="str">
        <f>IFERROR(VLOOKUP(AA317,TD!$N$55:$O$70,2,0)," ")</f>
        <v>Servicio de atención a emergencias y desastres</v>
      </c>
      <c r="AC317" s="168" t="str">
        <f>CONCATENATE(AA317,"_",AB317)</f>
        <v>004_Servicio de atención a emergencias y desastres</v>
      </c>
      <c r="AD317" s="168" t="str">
        <f>CONCATENATE(Z317," ",AC317)</f>
        <v>04-Servicio de atención a incidentes y emergencias. 004_Servicio de atención a emergencias y desastres</v>
      </c>
      <c r="AE317" s="167" t="str">
        <f>CONCATENATE(U317,V317,W317,X317,AA317)</f>
        <v>O23011745032024025504004</v>
      </c>
      <c r="AF317" s="167" t="str">
        <f>IFERROR(VLOOKUP(AD317,TD!$J$70:$K$93,2,0)," ")</f>
        <v>PM/0131/0104/45030040255</v>
      </c>
      <c r="AG317" s="114" t="s">
        <v>385</v>
      </c>
      <c r="AH317" s="166" t="s">
        <v>193</v>
      </c>
      <c r="AI317" s="169" t="str">
        <f>CONCATENATE(PAA[[#This Row],[Id Interno]],"-",PAA[[#This Row],[tipo de Contrato (TH talento humano - B/S bienes y/o servicios)]],"-",S317,"-",T317,"-",PAA[[#This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318" spans="2:35" ht="70" x14ac:dyDescent="0.35">
      <c r="B318" s="23">
        <v>20260282</v>
      </c>
      <c r="C318" s="97" t="s">
        <v>816</v>
      </c>
      <c r="D318" s="97" t="s">
        <v>105</v>
      </c>
      <c r="E318" s="97" t="s">
        <v>363</v>
      </c>
      <c r="F318" s="164" t="s">
        <v>145</v>
      </c>
      <c r="G318" s="164" t="s">
        <v>373</v>
      </c>
      <c r="H318" s="170">
        <v>9</v>
      </c>
      <c r="I318" s="170">
        <v>0</v>
      </c>
      <c r="J318" s="114">
        <v>33300000</v>
      </c>
      <c r="K318" s="121" t="s">
        <v>398</v>
      </c>
      <c r="L318" s="164" t="s">
        <v>158</v>
      </c>
      <c r="M318" s="171" t="s">
        <v>421</v>
      </c>
      <c r="N318" s="97" t="s">
        <v>198</v>
      </c>
      <c r="O318" s="144" t="s">
        <v>887</v>
      </c>
      <c r="P318" s="164" t="s">
        <v>348</v>
      </c>
      <c r="Q318" s="123">
        <v>80111600</v>
      </c>
      <c r="R318" s="171" t="s">
        <v>211</v>
      </c>
      <c r="S318" s="166" t="str">
        <f>MID(PAA[[#This Row],[Meta Proyecto de Inversión]],1,4)</f>
        <v>8173</v>
      </c>
      <c r="T318" s="166" t="str">
        <f>MID(PAA[[#This Row],[Meta Proyecto de Inversión]],6,2)</f>
        <v>2-</v>
      </c>
      <c r="U318" s="167" t="str">
        <f>IFERROR(VLOOKUP(N318,TD!$B$54:$F$58,2,0)," ")</f>
        <v>O230117</v>
      </c>
      <c r="V318" s="167" t="str">
        <f>IFERROR(VLOOKUP(N318,TD!$B$54:$F$58,3,0)," ")</f>
        <v>4503</v>
      </c>
      <c r="W318" s="167">
        <f>IFERROR(VLOOKUP(N318,TD!$B$54:$F$58,4,0)," ")</f>
        <v>20240255</v>
      </c>
      <c r="X318" s="166" t="s">
        <v>164</v>
      </c>
      <c r="Y318" s="167" t="str">
        <f>IFERROR(VLOOKUP(X318,TD!$J$55:$K$68,2,0)," ")</f>
        <v>Servicio de atención a incidentes y emergencias.</v>
      </c>
      <c r="Z318" s="168" t="str">
        <f>CONCATENATE(X318,"-",Y318)</f>
        <v>04-Servicio de atención a incidentes y emergencias.</v>
      </c>
      <c r="AA318" s="166" t="s">
        <v>221</v>
      </c>
      <c r="AB318" s="167" t="str">
        <f>IFERROR(VLOOKUP(AA318,TD!$N$55:$O$70,2,0)," ")</f>
        <v>Servicio de atención a emergencias y desastres</v>
      </c>
      <c r="AC318" s="168" t="str">
        <f>CONCATENATE(AA318,"_",AB318)</f>
        <v>004_Servicio de atención a emergencias y desastres</v>
      </c>
      <c r="AD318" s="168" t="str">
        <f>CONCATENATE(Z318," ",AC318)</f>
        <v>04-Servicio de atención a incidentes y emergencias. 004_Servicio de atención a emergencias y desastres</v>
      </c>
      <c r="AE318" s="167" t="str">
        <f>CONCATENATE(U318,V318,W318,X318,AA318)</f>
        <v>O23011745032024025504004</v>
      </c>
      <c r="AF318" s="167" t="str">
        <f>IFERROR(VLOOKUP(AD318,TD!$J$70:$K$93,2,0)," ")</f>
        <v>PM/0131/0104/45030040255</v>
      </c>
      <c r="AG318" s="114" t="s">
        <v>385</v>
      </c>
      <c r="AH318" s="166" t="s">
        <v>193</v>
      </c>
      <c r="AI318" s="169" t="str">
        <f>CONCATENATE(PAA[[#This Row],[Id Interno]],"-",PAA[[#This Row],[tipo de Contrato (TH talento humano - B/S bienes y/o servicios)]],"-",S318,"-",T318,"-",PAA[[#This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319" spans="2:35" ht="70" x14ac:dyDescent="0.35">
      <c r="B319" s="97">
        <v>20260283</v>
      </c>
      <c r="C319" s="97" t="s">
        <v>816</v>
      </c>
      <c r="D319" s="97" t="s">
        <v>105</v>
      </c>
      <c r="E319" s="97" t="s">
        <v>363</v>
      </c>
      <c r="F319" s="164" t="s">
        <v>145</v>
      </c>
      <c r="G319" s="164" t="s">
        <v>373</v>
      </c>
      <c r="H319" s="170">
        <v>9</v>
      </c>
      <c r="I319" s="170">
        <v>0</v>
      </c>
      <c r="J319" s="114">
        <v>33178419</v>
      </c>
      <c r="K319" s="121" t="s">
        <v>398</v>
      </c>
      <c r="L319" s="164" t="s">
        <v>158</v>
      </c>
      <c r="M319" s="171" t="s">
        <v>421</v>
      </c>
      <c r="N319" s="97" t="s">
        <v>198</v>
      </c>
      <c r="O319" s="144" t="s">
        <v>887</v>
      </c>
      <c r="P319" s="164" t="s">
        <v>348</v>
      </c>
      <c r="Q319" s="123">
        <v>80111600</v>
      </c>
      <c r="R319" s="171" t="s">
        <v>211</v>
      </c>
      <c r="S319" s="166" t="str">
        <f>MID(PAA[[#This Row],[Meta Proyecto de Inversión]],1,4)</f>
        <v>8173</v>
      </c>
      <c r="T319" s="166" t="str">
        <f>MID(PAA[[#This Row],[Meta Proyecto de Inversión]],6,2)</f>
        <v>2-</v>
      </c>
      <c r="U319" s="167" t="str">
        <f>IFERROR(VLOOKUP(N319,TD!$B$54:$F$58,2,0)," ")</f>
        <v>O230117</v>
      </c>
      <c r="V319" s="167" t="str">
        <f>IFERROR(VLOOKUP(N319,TD!$B$54:$F$58,3,0)," ")</f>
        <v>4503</v>
      </c>
      <c r="W319" s="167">
        <f>IFERROR(VLOOKUP(N319,TD!$B$54:$F$58,4,0)," ")</f>
        <v>20240255</v>
      </c>
      <c r="X319" s="166" t="s">
        <v>164</v>
      </c>
      <c r="Y319" s="167" t="str">
        <f>IFERROR(VLOOKUP(X319,TD!$J$55:$K$68,2,0)," ")</f>
        <v>Servicio de atención a incidentes y emergencias.</v>
      </c>
      <c r="Z319" s="168" t="str">
        <f>CONCATENATE(X319,"-",Y319)</f>
        <v>04-Servicio de atención a incidentes y emergencias.</v>
      </c>
      <c r="AA319" s="166" t="s">
        <v>221</v>
      </c>
      <c r="AB319" s="167" t="str">
        <f>IFERROR(VLOOKUP(AA319,TD!$N$55:$O$70,2,0)," ")</f>
        <v>Servicio de atención a emergencias y desastres</v>
      </c>
      <c r="AC319" s="168" t="str">
        <f>CONCATENATE(AA319,"_",AB319)</f>
        <v>004_Servicio de atención a emergencias y desastres</v>
      </c>
      <c r="AD319" s="168" t="str">
        <f>CONCATENATE(Z319," ",AC319)</f>
        <v>04-Servicio de atención a incidentes y emergencias. 004_Servicio de atención a emergencias y desastres</v>
      </c>
      <c r="AE319" s="167" t="str">
        <f>CONCATENATE(U319,V319,W319,X319,AA319)</f>
        <v>O23011745032024025504004</v>
      </c>
      <c r="AF319" s="167" t="str">
        <f>IFERROR(VLOOKUP(AD319,TD!$J$70:$K$93,2,0)," ")</f>
        <v>PM/0131/0104/45030040255</v>
      </c>
      <c r="AG319" s="114" t="s">
        <v>385</v>
      </c>
      <c r="AH319" s="166" t="s">
        <v>193</v>
      </c>
      <c r="AI319" s="169" t="str">
        <f>CONCATENATE(PAA[[#This Row],[Id Interno]],"-",PAA[[#This Row],[tipo de Contrato (TH talento humano - B/S bienes y/o servicios)]],"-",S319,"-",T319,"-",PAA[[#This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320" spans="2:35" s="56" customFormat="1" ht="70" x14ac:dyDescent="0.35">
      <c r="B320" s="23">
        <v>20260284</v>
      </c>
      <c r="C320" s="97" t="s">
        <v>470</v>
      </c>
      <c r="D320" s="97" t="s">
        <v>105</v>
      </c>
      <c r="E320" s="97" t="s">
        <v>363</v>
      </c>
      <c r="F320" s="164" t="s">
        <v>145</v>
      </c>
      <c r="G320" s="164" t="s">
        <v>373</v>
      </c>
      <c r="H320" s="170">
        <v>3</v>
      </c>
      <c r="I320" s="170">
        <v>15</v>
      </c>
      <c r="J320" s="114">
        <v>15400000</v>
      </c>
      <c r="K320" s="121" t="s">
        <v>398</v>
      </c>
      <c r="L320" s="164" t="s">
        <v>158</v>
      </c>
      <c r="M320" s="171" t="s">
        <v>421</v>
      </c>
      <c r="N320" s="97" t="s">
        <v>198</v>
      </c>
      <c r="O320" s="144" t="s">
        <v>887</v>
      </c>
      <c r="P320" s="164" t="s">
        <v>348</v>
      </c>
      <c r="Q320" s="123">
        <v>80111600</v>
      </c>
      <c r="R320" s="171" t="s">
        <v>211</v>
      </c>
      <c r="S320" s="166" t="str">
        <f>MID(PAA[[#This Row],[Meta Proyecto de Inversión]],1,4)</f>
        <v>8173</v>
      </c>
      <c r="T320" s="166" t="str">
        <f>MID(PAA[[#This Row],[Meta Proyecto de Inversión]],6,2)</f>
        <v>2-</v>
      </c>
      <c r="U320" s="167" t="str">
        <f>IFERROR(VLOOKUP(N320,TD!$B$54:$F$58,2,0)," ")</f>
        <v>O230117</v>
      </c>
      <c r="V320" s="167" t="str">
        <f>IFERROR(VLOOKUP(N320,TD!$B$54:$F$58,3,0)," ")</f>
        <v>4503</v>
      </c>
      <c r="W320" s="167">
        <f>IFERROR(VLOOKUP(N320,TD!$B$54:$F$58,4,0)," ")</f>
        <v>20240255</v>
      </c>
      <c r="X320" s="166" t="s">
        <v>164</v>
      </c>
      <c r="Y320" s="167" t="str">
        <f>IFERROR(VLOOKUP(X320,TD!$J$55:$K$68,2,0)," ")</f>
        <v>Servicio de atención a incidentes y emergencias.</v>
      </c>
      <c r="Z320" s="168" t="str">
        <f>CONCATENATE(X320,"-",Y320)</f>
        <v>04-Servicio de atención a incidentes y emergencias.</v>
      </c>
      <c r="AA320" s="166" t="s">
        <v>221</v>
      </c>
      <c r="AB320" s="167" t="str">
        <f>IFERROR(VLOOKUP(AA320,TD!$N$55:$O$70,2,0)," ")</f>
        <v>Servicio de atención a emergencias y desastres</v>
      </c>
      <c r="AC320" s="168" t="str">
        <f>CONCATENATE(AA320,"_",AB320)</f>
        <v>004_Servicio de atención a emergencias y desastres</v>
      </c>
      <c r="AD320" s="168" t="str">
        <f>CONCATENATE(Z320," ",AC320)</f>
        <v>04-Servicio de atención a incidentes y emergencias. 004_Servicio de atención a emergencias y desastres</v>
      </c>
      <c r="AE320" s="167" t="str">
        <f>CONCATENATE(U320,V320,W320,X320,AA320)</f>
        <v>O23011745032024025504004</v>
      </c>
      <c r="AF320" s="167" t="str">
        <f>IFERROR(VLOOKUP(AD320,TD!$J$70:$K$93,2,0)," ")</f>
        <v>PM/0131/0104/45030040255</v>
      </c>
      <c r="AG320" s="114" t="s">
        <v>385</v>
      </c>
      <c r="AH320" s="166" t="s">
        <v>194</v>
      </c>
      <c r="AI320" s="169" t="str">
        <f>CONCATENATE(PAA[[#This Row],[Id Interno]],"-",PAA[[#This Row],[tipo de Contrato (TH talento humano - B/S bienes y/o servicios)]],"-",S320,"-",T320,"-",PAA[[#This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321" spans="2:35" s="56" customFormat="1" ht="84" customHeight="1" x14ac:dyDescent="0.35">
      <c r="B321" s="23">
        <v>20260285</v>
      </c>
      <c r="C321" s="97" t="s">
        <v>471</v>
      </c>
      <c r="D321" s="97" t="s">
        <v>105</v>
      </c>
      <c r="E321" s="97" t="s">
        <v>363</v>
      </c>
      <c r="F321" s="164" t="s">
        <v>144</v>
      </c>
      <c r="G321" s="164" t="s">
        <v>373</v>
      </c>
      <c r="H321" s="170">
        <v>5</v>
      </c>
      <c r="I321" s="170">
        <v>15</v>
      </c>
      <c r="J321" s="114">
        <v>52250000</v>
      </c>
      <c r="K321" s="121" t="s">
        <v>398</v>
      </c>
      <c r="L321" s="164" t="s">
        <v>158</v>
      </c>
      <c r="M321" s="171" t="s">
        <v>421</v>
      </c>
      <c r="N321" s="97" t="s">
        <v>198</v>
      </c>
      <c r="O321" s="144" t="s">
        <v>887</v>
      </c>
      <c r="P321" s="164" t="s">
        <v>348</v>
      </c>
      <c r="Q321" s="123">
        <v>80111600</v>
      </c>
      <c r="R321" s="171" t="s">
        <v>211</v>
      </c>
      <c r="S321" s="166" t="str">
        <f>MID(PAA[[#This Row],[Meta Proyecto de Inversión]],1,4)</f>
        <v>8173</v>
      </c>
      <c r="T321" s="166" t="str">
        <f>MID(PAA[[#This Row],[Meta Proyecto de Inversión]],6,2)</f>
        <v>2-</v>
      </c>
      <c r="U321" s="167" t="str">
        <f>IFERROR(VLOOKUP(N321,TD!$B$54:$F$58,2,0)," ")</f>
        <v>O230117</v>
      </c>
      <c r="V321" s="167" t="str">
        <f>IFERROR(VLOOKUP(N321,TD!$B$54:$F$58,3,0)," ")</f>
        <v>4503</v>
      </c>
      <c r="W321" s="167">
        <f>IFERROR(VLOOKUP(N321,TD!$B$54:$F$58,4,0)," ")</f>
        <v>20240255</v>
      </c>
      <c r="X321" s="166" t="s">
        <v>164</v>
      </c>
      <c r="Y321" s="167" t="str">
        <f>IFERROR(VLOOKUP(X321,TD!$J$55:$K$68,2,0)," ")</f>
        <v>Servicio de atención a incidentes y emergencias.</v>
      </c>
      <c r="Z321" s="168" t="str">
        <f>CONCATENATE(X321,"-",Y321)</f>
        <v>04-Servicio de atención a incidentes y emergencias.</v>
      </c>
      <c r="AA321" s="166" t="s">
        <v>221</v>
      </c>
      <c r="AB321" s="167" t="str">
        <f>IFERROR(VLOOKUP(AA321,TD!$N$55:$O$70,2,0)," ")</f>
        <v>Servicio de atención a emergencias y desastres</v>
      </c>
      <c r="AC321" s="168" t="str">
        <f>CONCATENATE(AA321,"_",AB321)</f>
        <v>004_Servicio de atención a emergencias y desastres</v>
      </c>
      <c r="AD321" s="168" t="str">
        <f>CONCATENATE(Z321," ",AC321)</f>
        <v>04-Servicio de atención a incidentes y emergencias. 004_Servicio de atención a emergencias y desastres</v>
      </c>
      <c r="AE321" s="167" t="str">
        <f>CONCATENATE(U321,V321,W321,X321,AA321)</f>
        <v>O23011745032024025504004</v>
      </c>
      <c r="AF321" s="167" t="str">
        <f>IFERROR(VLOOKUP(AD321,TD!$J$70:$K$93,2,0)," ")</f>
        <v>PM/0131/0104/45030040255</v>
      </c>
      <c r="AG321" s="114" t="s">
        <v>385</v>
      </c>
      <c r="AH321" s="166" t="s">
        <v>194</v>
      </c>
      <c r="AI321" s="169" t="str">
        <f>CONCATENATE(PAA[[#This Row],[Id Interno]],"-",PAA[[#This Row],[tipo de Contrato (TH talento humano - B/S bienes y/o servicios)]],"-",S321,"-",T321,"-",PAA[[#This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322" spans="2:35" s="56" customFormat="1" ht="84" x14ac:dyDescent="0.35">
      <c r="B322" s="23">
        <v>20260286</v>
      </c>
      <c r="C322" s="97" t="s">
        <v>627</v>
      </c>
      <c r="D322" s="97" t="s">
        <v>105</v>
      </c>
      <c r="E322" s="97" t="s">
        <v>363</v>
      </c>
      <c r="F322" s="164" t="s">
        <v>144</v>
      </c>
      <c r="G322" s="164" t="s">
        <v>373</v>
      </c>
      <c r="H322" s="170">
        <v>10</v>
      </c>
      <c r="I322" s="170">
        <v>0</v>
      </c>
      <c r="J322" s="114">
        <v>80000000</v>
      </c>
      <c r="K322" s="121" t="s">
        <v>398</v>
      </c>
      <c r="L322" s="164" t="s">
        <v>158</v>
      </c>
      <c r="M322" s="171" t="s">
        <v>421</v>
      </c>
      <c r="N322" s="97" t="s">
        <v>198</v>
      </c>
      <c r="O322" s="144" t="s">
        <v>887</v>
      </c>
      <c r="P322" s="164" t="s">
        <v>348</v>
      </c>
      <c r="Q322" s="123">
        <v>80111600</v>
      </c>
      <c r="R322" s="171" t="s">
        <v>211</v>
      </c>
      <c r="S322" s="166" t="str">
        <f>MID(PAA[[#This Row],[Meta Proyecto de Inversión]],1,4)</f>
        <v>8173</v>
      </c>
      <c r="T322" s="166" t="str">
        <f>MID(PAA[[#This Row],[Meta Proyecto de Inversión]],6,2)</f>
        <v>2-</v>
      </c>
      <c r="U322" s="167" t="str">
        <f>IFERROR(VLOOKUP(N322,TD!$B$54:$F$58,2,0)," ")</f>
        <v>O230117</v>
      </c>
      <c r="V322" s="167" t="str">
        <f>IFERROR(VLOOKUP(N322,TD!$B$54:$F$58,3,0)," ")</f>
        <v>4503</v>
      </c>
      <c r="W322" s="167">
        <f>IFERROR(VLOOKUP(N322,TD!$B$54:$F$58,4,0)," ")</f>
        <v>20240255</v>
      </c>
      <c r="X322" s="166" t="s">
        <v>164</v>
      </c>
      <c r="Y322" s="167" t="str">
        <f>IFERROR(VLOOKUP(X322,TD!$J$55:$K$68,2,0)," ")</f>
        <v>Servicio de atención a incidentes y emergencias.</v>
      </c>
      <c r="Z322" s="168" t="str">
        <f>CONCATENATE(X322,"-",Y322)</f>
        <v>04-Servicio de atención a incidentes y emergencias.</v>
      </c>
      <c r="AA322" s="166" t="s">
        <v>221</v>
      </c>
      <c r="AB322" s="167" t="str">
        <f>IFERROR(VLOOKUP(AA322,TD!$N$55:$O$70,2,0)," ")</f>
        <v>Servicio de atención a emergencias y desastres</v>
      </c>
      <c r="AC322" s="168" t="str">
        <f>CONCATENATE(AA322,"_",AB322)</f>
        <v>004_Servicio de atención a emergencias y desastres</v>
      </c>
      <c r="AD322" s="168" t="str">
        <f>CONCATENATE(Z322," ",AC322)</f>
        <v>04-Servicio de atención a incidentes y emergencias. 004_Servicio de atención a emergencias y desastres</v>
      </c>
      <c r="AE322" s="167" t="str">
        <f>CONCATENATE(U322,V322,W322,X322,AA322)</f>
        <v>O23011745032024025504004</v>
      </c>
      <c r="AF322" s="167" t="str">
        <f>IFERROR(VLOOKUP(AD322,TD!$J$70:$K$93,2,0)," ")</f>
        <v>PM/0131/0104/45030040255</v>
      </c>
      <c r="AG322" s="114" t="s">
        <v>385</v>
      </c>
      <c r="AH322" s="166" t="s">
        <v>193</v>
      </c>
      <c r="AI322" s="169" t="str">
        <f>CONCATENATE(PAA[[#This Row],[Id Interno]],"-",PAA[[#This Row],[tipo de Contrato (TH talento humano - B/S bienes y/o servicios)]],"-",S322,"-",T322,"-",PAA[[#This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323" spans="2:35" s="56" customFormat="1" ht="56" x14ac:dyDescent="0.35">
      <c r="B323" s="23">
        <v>20260287</v>
      </c>
      <c r="C323" s="97" t="s">
        <v>628</v>
      </c>
      <c r="D323" s="97" t="s">
        <v>105</v>
      </c>
      <c r="E323" s="97" t="s">
        <v>363</v>
      </c>
      <c r="F323" s="164" t="s">
        <v>144</v>
      </c>
      <c r="G323" s="164" t="s">
        <v>373</v>
      </c>
      <c r="H323" s="170">
        <v>10</v>
      </c>
      <c r="I323" s="170">
        <v>0</v>
      </c>
      <c r="J323" s="114">
        <v>49500000</v>
      </c>
      <c r="K323" s="121" t="s">
        <v>398</v>
      </c>
      <c r="L323" s="164" t="s">
        <v>158</v>
      </c>
      <c r="M323" s="171" t="s">
        <v>421</v>
      </c>
      <c r="N323" s="97" t="s">
        <v>198</v>
      </c>
      <c r="O323" s="144" t="s">
        <v>887</v>
      </c>
      <c r="P323" s="164" t="s">
        <v>348</v>
      </c>
      <c r="Q323" s="123">
        <v>80111600</v>
      </c>
      <c r="R323" s="171" t="s">
        <v>211</v>
      </c>
      <c r="S323" s="166" t="str">
        <f>MID(PAA[[#This Row],[Meta Proyecto de Inversión]],1,4)</f>
        <v>8173</v>
      </c>
      <c r="T323" s="166" t="str">
        <f>MID(PAA[[#This Row],[Meta Proyecto de Inversión]],6,2)</f>
        <v>2-</v>
      </c>
      <c r="U323" s="167" t="str">
        <f>IFERROR(VLOOKUP(N323,TD!$B$54:$F$58,2,0)," ")</f>
        <v>O230117</v>
      </c>
      <c r="V323" s="167" t="str">
        <f>IFERROR(VLOOKUP(N323,TD!$B$54:$F$58,3,0)," ")</f>
        <v>4503</v>
      </c>
      <c r="W323" s="167">
        <f>IFERROR(VLOOKUP(N323,TD!$B$54:$F$58,4,0)," ")</f>
        <v>20240255</v>
      </c>
      <c r="X323" s="166" t="s">
        <v>164</v>
      </c>
      <c r="Y323" s="167" t="str">
        <f>IFERROR(VLOOKUP(X323,TD!$J$55:$K$68,2,0)," ")</f>
        <v>Servicio de atención a incidentes y emergencias.</v>
      </c>
      <c r="Z323" s="168" t="str">
        <f>CONCATENATE(X323,"-",Y323)</f>
        <v>04-Servicio de atención a incidentes y emergencias.</v>
      </c>
      <c r="AA323" s="166" t="s">
        <v>221</v>
      </c>
      <c r="AB323" s="167" t="str">
        <f>IFERROR(VLOOKUP(AA323,TD!$N$55:$O$70,2,0)," ")</f>
        <v>Servicio de atención a emergencias y desastres</v>
      </c>
      <c r="AC323" s="168" t="str">
        <f>CONCATENATE(AA323,"_",AB323)</f>
        <v>004_Servicio de atención a emergencias y desastres</v>
      </c>
      <c r="AD323" s="168" t="str">
        <f>CONCATENATE(Z323," ",AC323)</f>
        <v>04-Servicio de atención a incidentes y emergencias. 004_Servicio de atención a emergencias y desastres</v>
      </c>
      <c r="AE323" s="167" t="str">
        <f>CONCATENATE(U323,V323,W323,X323,AA323)</f>
        <v>O23011745032024025504004</v>
      </c>
      <c r="AF323" s="167" t="str">
        <f>IFERROR(VLOOKUP(AD323,TD!$J$70:$K$93,2,0)," ")</f>
        <v>PM/0131/0104/45030040255</v>
      </c>
      <c r="AG323" s="114" t="s">
        <v>385</v>
      </c>
      <c r="AH323" s="166" t="s">
        <v>193</v>
      </c>
      <c r="AI323" s="169" t="str">
        <f>CONCATENATE(PAA[[#This Row],[Id Interno]],"-",PAA[[#This Row],[tipo de Contrato (TH talento humano - B/S bienes y/o servicios)]],"-",S323,"-",T323,"-",PAA[[#This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324" spans="2:35" ht="56" x14ac:dyDescent="0.35">
      <c r="B324" s="23">
        <v>20260288</v>
      </c>
      <c r="C324" s="97" t="s">
        <v>629</v>
      </c>
      <c r="D324" s="97" t="s">
        <v>105</v>
      </c>
      <c r="E324" s="97" t="s">
        <v>363</v>
      </c>
      <c r="F324" s="164" t="s">
        <v>144</v>
      </c>
      <c r="G324" s="164" t="s">
        <v>373</v>
      </c>
      <c r="H324" s="170">
        <v>7</v>
      </c>
      <c r="I324" s="170">
        <v>0</v>
      </c>
      <c r="J324" s="114">
        <v>47600000</v>
      </c>
      <c r="K324" s="121" t="s">
        <v>398</v>
      </c>
      <c r="L324" s="164" t="s">
        <v>158</v>
      </c>
      <c r="M324" s="171" t="s">
        <v>421</v>
      </c>
      <c r="N324" s="97" t="s">
        <v>198</v>
      </c>
      <c r="O324" s="144" t="s">
        <v>887</v>
      </c>
      <c r="P324" s="164" t="s">
        <v>348</v>
      </c>
      <c r="Q324" s="123">
        <v>80111600</v>
      </c>
      <c r="R324" s="171" t="s">
        <v>211</v>
      </c>
      <c r="S324" s="166" t="str">
        <f>MID(PAA[[#This Row],[Meta Proyecto de Inversión]],1,4)</f>
        <v>8173</v>
      </c>
      <c r="T324" s="166" t="str">
        <f>MID(PAA[[#This Row],[Meta Proyecto de Inversión]],6,2)</f>
        <v>2-</v>
      </c>
      <c r="U324" s="167" t="str">
        <f>IFERROR(VLOOKUP(N324,TD!$B$54:$F$58,2,0)," ")</f>
        <v>O230117</v>
      </c>
      <c r="V324" s="167" t="str">
        <f>IFERROR(VLOOKUP(N324,TD!$B$54:$F$58,3,0)," ")</f>
        <v>4503</v>
      </c>
      <c r="W324" s="167">
        <f>IFERROR(VLOOKUP(N324,TD!$B$54:$F$58,4,0)," ")</f>
        <v>20240255</v>
      </c>
      <c r="X324" s="166" t="s">
        <v>164</v>
      </c>
      <c r="Y324" s="167" t="str">
        <f>IFERROR(VLOOKUP(X324,TD!$J$55:$K$68,2,0)," ")</f>
        <v>Servicio de atención a incidentes y emergencias.</v>
      </c>
      <c r="Z324" s="168" t="str">
        <f>CONCATENATE(X324,"-",Y324)</f>
        <v>04-Servicio de atención a incidentes y emergencias.</v>
      </c>
      <c r="AA324" s="166" t="s">
        <v>221</v>
      </c>
      <c r="AB324" s="167" t="str">
        <f>IFERROR(VLOOKUP(AA324,TD!$N$55:$O$70,2,0)," ")</f>
        <v>Servicio de atención a emergencias y desastres</v>
      </c>
      <c r="AC324" s="168" t="str">
        <f>CONCATENATE(AA324,"_",AB324)</f>
        <v>004_Servicio de atención a emergencias y desastres</v>
      </c>
      <c r="AD324" s="168" t="str">
        <f>CONCATENATE(Z324," ",AC324)</f>
        <v>04-Servicio de atención a incidentes y emergencias. 004_Servicio de atención a emergencias y desastres</v>
      </c>
      <c r="AE324" s="167" t="str">
        <f>CONCATENATE(U324,V324,W324,X324,AA324)</f>
        <v>O23011745032024025504004</v>
      </c>
      <c r="AF324" s="167" t="str">
        <f>IFERROR(VLOOKUP(AD324,TD!$J$70:$K$93,2,0)," ")</f>
        <v>PM/0131/0104/45030040255</v>
      </c>
      <c r="AG324" s="114" t="s">
        <v>385</v>
      </c>
      <c r="AH324" s="166" t="s">
        <v>193</v>
      </c>
      <c r="AI324" s="169" t="str">
        <f>CONCATENATE(PAA[[#This Row],[Id Interno]],"-",PAA[[#This Row],[tipo de Contrato (TH talento humano - B/S bienes y/o servicios)]],"-",S324,"-",T324,"-",PAA[[#This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325" spans="2:35" s="56" customFormat="1" ht="70" x14ac:dyDescent="0.35">
      <c r="B325" s="97">
        <v>20260289</v>
      </c>
      <c r="C325" s="97" t="s">
        <v>817</v>
      </c>
      <c r="D325" s="97" t="s">
        <v>105</v>
      </c>
      <c r="E325" s="97" t="s">
        <v>363</v>
      </c>
      <c r="F325" s="164" t="s">
        <v>144</v>
      </c>
      <c r="G325" s="164" t="s">
        <v>378</v>
      </c>
      <c r="H325" s="170">
        <v>7</v>
      </c>
      <c r="I325" s="170">
        <v>15</v>
      </c>
      <c r="J325" s="114">
        <v>54000000</v>
      </c>
      <c r="K325" s="121" t="s">
        <v>398</v>
      </c>
      <c r="L325" s="164" t="s">
        <v>158</v>
      </c>
      <c r="M325" s="171" t="s">
        <v>421</v>
      </c>
      <c r="N325" s="97" t="s">
        <v>198</v>
      </c>
      <c r="O325" s="144" t="s">
        <v>887</v>
      </c>
      <c r="P325" s="164" t="s">
        <v>348</v>
      </c>
      <c r="Q325" s="123">
        <v>80111600</v>
      </c>
      <c r="R325" s="171" t="s">
        <v>211</v>
      </c>
      <c r="S325" s="166" t="str">
        <f>MID(PAA[[#This Row],[Meta Proyecto de Inversión]],1,4)</f>
        <v>8173</v>
      </c>
      <c r="T325" s="166" t="str">
        <f>MID(PAA[[#This Row],[Meta Proyecto de Inversión]],6,2)</f>
        <v>2-</v>
      </c>
      <c r="U325" s="167" t="str">
        <f>IFERROR(VLOOKUP(N325,TD!$B$54:$F$58,2,0)," ")</f>
        <v>O230117</v>
      </c>
      <c r="V325" s="167" t="str">
        <f>IFERROR(VLOOKUP(N325,TD!$B$54:$F$58,3,0)," ")</f>
        <v>4503</v>
      </c>
      <c r="W325" s="167">
        <f>IFERROR(VLOOKUP(N325,TD!$B$54:$F$58,4,0)," ")</f>
        <v>20240255</v>
      </c>
      <c r="X325" s="166" t="s">
        <v>164</v>
      </c>
      <c r="Y325" s="167" t="str">
        <f>IFERROR(VLOOKUP(X325,TD!$J$55:$K$68,2,0)," ")</f>
        <v>Servicio de atención a incidentes y emergencias.</v>
      </c>
      <c r="Z325" s="168" t="str">
        <f>CONCATENATE(X325,"-",Y325)</f>
        <v>04-Servicio de atención a incidentes y emergencias.</v>
      </c>
      <c r="AA325" s="166" t="s">
        <v>221</v>
      </c>
      <c r="AB325" s="167" t="str">
        <f>IFERROR(VLOOKUP(AA325,TD!$N$55:$O$70,2,0)," ")</f>
        <v>Servicio de atención a emergencias y desastres</v>
      </c>
      <c r="AC325" s="168" t="str">
        <f>CONCATENATE(AA325,"_",AB325)</f>
        <v>004_Servicio de atención a emergencias y desastres</v>
      </c>
      <c r="AD325" s="168" t="str">
        <f>CONCATENATE(Z325," ",AC325)</f>
        <v>04-Servicio de atención a incidentes y emergencias. 004_Servicio de atención a emergencias y desastres</v>
      </c>
      <c r="AE325" s="167" t="str">
        <f>CONCATENATE(U325,V325,W325,X325,AA325)</f>
        <v>O23011745032024025504004</v>
      </c>
      <c r="AF325" s="167" t="str">
        <f>IFERROR(VLOOKUP(AD325,TD!$J$70:$K$93,2,0)," ")</f>
        <v>PM/0131/0104/45030040255</v>
      </c>
      <c r="AG325" s="114" t="s">
        <v>385</v>
      </c>
      <c r="AH325" s="166" t="s">
        <v>193</v>
      </c>
      <c r="AI325" s="169" t="str">
        <f>CONCATENATE(PAA[[#This Row],[Id Interno]],"-",PAA[[#This Row],[tipo de Contrato (TH talento humano - B/S bienes y/o servicios)]],"-",S325,"-",T325,"-",PAA[[#This Row],[Objeto de la contratación]])</f>
        <v>20260289-TH-8173-2--Prestación de servicios profesionales para apoyar el fortalecimiento de la dependencia y la articulación con entidades externas, para el desarrollo de los programas a cargo de la Subdirección Operativa-S. O.</v>
      </c>
    </row>
    <row r="326" spans="2:35" ht="56" x14ac:dyDescent="0.35">
      <c r="B326" s="23">
        <v>20260290</v>
      </c>
      <c r="C326" s="97" t="s">
        <v>818</v>
      </c>
      <c r="D326" s="97" t="s">
        <v>105</v>
      </c>
      <c r="E326" s="97" t="s">
        <v>363</v>
      </c>
      <c r="F326" s="164" t="s">
        <v>144</v>
      </c>
      <c r="G326" s="164" t="s">
        <v>373</v>
      </c>
      <c r="H326" s="170">
        <v>8</v>
      </c>
      <c r="I326" s="170">
        <v>0</v>
      </c>
      <c r="J326" s="114">
        <v>41200000</v>
      </c>
      <c r="K326" s="121" t="s">
        <v>398</v>
      </c>
      <c r="L326" s="164" t="s">
        <v>158</v>
      </c>
      <c r="M326" s="171" t="s">
        <v>421</v>
      </c>
      <c r="N326" s="97" t="s">
        <v>198</v>
      </c>
      <c r="O326" s="144" t="s">
        <v>887</v>
      </c>
      <c r="P326" s="164" t="s">
        <v>348</v>
      </c>
      <c r="Q326" s="123">
        <v>80111600</v>
      </c>
      <c r="R326" s="171" t="s">
        <v>211</v>
      </c>
      <c r="S326" s="166" t="str">
        <f>MID(PAA[[#This Row],[Meta Proyecto de Inversión]],1,4)</f>
        <v>8173</v>
      </c>
      <c r="T326" s="166" t="str">
        <f>MID(PAA[[#This Row],[Meta Proyecto de Inversión]],6,2)</f>
        <v>2-</v>
      </c>
      <c r="U326" s="167" t="str">
        <f>IFERROR(VLOOKUP(N326,TD!$B$54:$F$58,2,0)," ")</f>
        <v>O230117</v>
      </c>
      <c r="V326" s="167" t="str">
        <f>IFERROR(VLOOKUP(N326,TD!$B$54:$F$58,3,0)," ")</f>
        <v>4503</v>
      </c>
      <c r="W326" s="167">
        <f>IFERROR(VLOOKUP(N326,TD!$B$54:$F$58,4,0)," ")</f>
        <v>20240255</v>
      </c>
      <c r="X326" s="166" t="s">
        <v>164</v>
      </c>
      <c r="Y326" s="167" t="str">
        <f>IFERROR(VLOOKUP(X326,TD!$J$55:$K$68,2,0)," ")</f>
        <v>Servicio de atención a incidentes y emergencias.</v>
      </c>
      <c r="Z326" s="168" t="str">
        <f>CONCATENATE(X326,"-",Y326)</f>
        <v>04-Servicio de atención a incidentes y emergencias.</v>
      </c>
      <c r="AA326" s="166" t="s">
        <v>221</v>
      </c>
      <c r="AB326" s="167" t="str">
        <f>IFERROR(VLOOKUP(AA326,TD!$N$55:$O$70,2,0)," ")</f>
        <v>Servicio de atención a emergencias y desastres</v>
      </c>
      <c r="AC326" s="168" t="str">
        <f>CONCATENATE(AA326,"_",AB326)</f>
        <v>004_Servicio de atención a emergencias y desastres</v>
      </c>
      <c r="AD326" s="168" t="str">
        <f>CONCATENATE(Z326," ",AC326)</f>
        <v>04-Servicio de atención a incidentes y emergencias. 004_Servicio de atención a emergencias y desastres</v>
      </c>
      <c r="AE326" s="167" t="str">
        <f>CONCATENATE(U326,V326,W326,X326,AA326)</f>
        <v>O23011745032024025504004</v>
      </c>
      <c r="AF326" s="167" t="str">
        <f>IFERROR(VLOOKUP(AD326,TD!$J$70:$K$93,2,0)," ")</f>
        <v>PM/0131/0104/45030040255</v>
      </c>
      <c r="AG326" s="114" t="s">
        <v>385</v>
      </c>
      <c r="AH326" s="166" t="s">
        <v>193</v>
      </c>
      <c r="AI326" s="169" t="str">
        <f>CONCATENATE(PAA[[#This Row],[Id Interno]],"-",PAA[[#This Row],[tipo de Contrato (TH talento humano - B/S bienes y/o servicios)]],"-",S326,"-",T326,"-",PAA[[#This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327" spans="2:35" s="56" customFormat="1" ht="70" x14ac:dyDescent="0.35">
      <c r="B327" s="97">
        <v>20260291</v>
      </c>
      <c r="C327" s="97" t="s">
        <v>630</v>
      </c>
      <c r="D327" s="97" t="s">
        <v>105</v>
      </c>
      <c r="E327" s="97" t="s">
        <v>363</v>
      </c>
      <c r="F327" s="164" t="s">
        <v>144</v>
      </c>
      <c r="G327" s="164" t="s">
        <v>373</v>
      </c>
      <c r="H327" s="170">
        <v>10</v>
      </c>
      <c r="I327" s="170">
        <v>0</v>
      </c>
      <c r="J327" s="114">
        <v>64800000</v>
      </c>
      <c r="K327" s="121" t="s">
        <v>398</v>
      </c>
      <c r="L327" s="164" t="s">
        <v>158</v>
      </c>
      <c r="M327" s="171" t="s">
        <v>421</v>
      </c>
      <c r="N327" s="97" t="s">
        <v>198</v>
      </c>
      <c r="O327" s="144" t="s">
        <v>887</v>
      </c>
      <c r="P327" s="164" t="s">
        <v>348</v>
      </c>
      <c r="Q327" s="123">
        <v>80111600</v>
      </c>
      <c r="R327" s="171" t="s">
        <v>211</v>
      </c>
      <c r="S327" s="166" t="str">
        <f>MID(PAA[[#This Row],[Meta Proyecto de Inversión]],1,4)</f>
        <v>8173</v>
      </c>
      <c r="T327" s="166" t="str">
        <f>MID(PAA[[#This Row],[Meta Proyecto de Inversión]],6,2)</f>
        <v>2-</v>
      </c>
      <c r="U327" s="167" t="str">
        <f>IFERROR(VLOOKUP(N327,TD!$B$54:$F$58,2,0)," ")</f>
        <v>O230117</v>
      </c>
      <c r="V327" s="167" t="str">
        <f>IFERROR(VLOOKUP(N327,TD!$B$54:$F$58,3,0)," ")</f>
        <v>4503</v>
      </c>
      <c r="W327" s="167">
        <f>IFERROR(VLOOKUP(N327,TD!$B$54:$F$58,4,0)," ")</f>
        <v>20240255</v>
      </c>
      <c r="X327" s="166" t="s">
        <v>164</v>
      </c>
      <c r="Y327" s="167" t="str">
        <f>IFERROR(VLOOKUP(X327,TD!$J$55:$K$68,2,0)," ")</f>
        <v>Servicio de atención a incidentes y emergencias.</v>
      </c>
      <c r="Z327" s="168" t="str">
        <f>CONCATENATE(X327,"-",Y327)</f>
        <v>04-Servicio de atención a incidentes y emergencias.</v>
      </c>
      <c r="AA327" s="166" t="s">
        <v>221</v>
      </c>
      <c r="AB327" s="167" t="str">
        <f>IFERROR(VLOOKUP(AA327,TD!$N$55:$O$70,2,0)," ")</f>
        <v>Servicio de atención a emergencias y desastres</v>
      </c>
      <c r="AC327" s="168" t="str">
        <f>CONCATENATE(AA327,"_",AB327)</f>
        <v>004_Servicio de atención a emergencias y desastres</v>
      </c>
      <c r="AD327" s="168" t="str">
        <f>CONCATENATE(Z327," ",AC327)</f>
        <v>04-Servicio de atención a incidentes y emergencias. 004_Servicio de atención a emergencias y desastres</v>
      </c>
      <c r="AE327" s="167" t="str">
        <f>CONCATENATE(U327,V327,W327,X327,AA327)</f>
        <v>O23011745032024025504004</v>
      </c>
      <c r="AF327" s="167" t="str">
        <f>IFERROR(VLOOKUP(AD327,TD!$J$70:$K$93,2,0)," ")</f>
        <v>PM/0131/0104/45030040255</v>
      </c>
      <c r="AG327" s="114" t="s">
        <v>385</v>
      </c>
      <c r="AH327" s="166" t="s">
        <v>193</v>
      </c>
      <c r="AI327" s="169" t="str">
        <f>CONCATENATE(PAA[[#This Row],[Id Interno]],"-",PAA[[#This Row],[tipo de Contrato (TH talento humano - B/S bienes y/o servicios)]],"-",S327,"-",T327,"-",PAA[[#This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328" spans="2:35" ht="56" x14ac:dyDescent="0.35">
      <c r="B328" s="23">
        <v>20260292</v>
      </c>
      <c r="C328" s="97" t="s">
        <v>819</v>
      </c>
      <c r="D328" s="97" t="s">
        <v>105</v>
      </c>
      <c r="E328" s="97" t="s">
        <v>363</v>
      </c>
      <c r="F328" s="164" t="s">
        <v>144</v>
      </c>
      <c r="G328" s="164" t="s">
        <v>373</v>
      </c>
      <c r="H328" s="170">
        <v>8</v>
      </c>
      <c r="I328" s="170">
        <v>0</v>
      </c>
      <c r="J328" s="114">
        <v>65600000</v>
      </c>
      <c r="K328" s="121" t="s">
        <v>398</v>
      </c>
      <c r="L328" s="164" t="s">
        <v>158</v>
      </c>
      <c r="M328" s="171" t="s">
        <v>421</v>
      </c>
      <c r="N328" s="97" t="s">
        <v>198</v>
      </c>
      <c r="O328" s="144" t="s">
        <v>887</v>
      </c>
      <c r="P328" s="164" t="s">
        <v>348</v>
      </c>
      <c r="Q328" s="123">
        <v>80111600</v>
      </c>
      <c r="R328" s="171" t="s">
        <v>211</v>
      </c>
      <c r="S328" s="166" t="str">
        <f>MID(PAA[[#This Row],[Meta Proyecto de Inversión]],1,4)</f>
        <v>8173</v>
      </c>
      <c r="T328" s="166" t="str">
        <f>MID(PAA[[#This Row],[Meta Proyecto de Inversión]],6,2)</f>
        <v>2-</v>
      </c>
      <c r="U328" s="167" t="str">
        <f>IFERROR(VLOOKUP(N328,TD!$B$54:$F$58,2,0)," ")</f>
        <v>O230117</v>
      </c>
      <c r="V328" s="167" t="str">
        <f>IFERROR(VLOOKUP(N328,TD!$B$54:$F$58,3,0)," ")</f>
        <v>4503</v>
      </c>
      <c r="W328" s="167">
        <f>IFERROR(VLOOKUP(N328,TD!$B$54:$F$58,4,0)," ")</f>
        <v>20240255</v>
      </c>
      <c r="X328" s="166" t="s">
        <v>164</v>
      </c>
      <c r="Y328" s="167" t="str">
        <f>IFERROR(VLOOKUP(X328,TD!$J$55:$K$68,2,0)," ")</f>
        <v>Servicio de atención a incidentes y emergencias.</v>
      </c>
      <c r="Z328" s="168" t="str">
        <f>CONCATENATE(X328,"-",Y328)</f>
        <v>04-Servicio de atención a incidentes y emergencias.</v>
      </c>
      <c r="AA328" s="166" t="s">
        <v>221</v>
      </c>
      <c r="AB328" s="167" t="str">
        <f>IFERROR(VLOOKUP(AA328,TD!$N$55:$O$70,2,0)," ")</f>
        <v>Servicio de atención a emergencias y desastres</v>
      </c>
      <c r="AC328" s="168" t="str">
        <f>CONCATENATE(AA328,"_",AB328)</f>
        <v>004_Servicio de atención a emergencias y desastres</v>
      </c>
      <c r="AD328" s="168" t="str">
        <f>CONCATENATE(Z328," ",AC328)</f>
        <v>04-Servicio de atención a incidentes y emergencias. 004_Servicio de atención a emergencias y desastres</v>
      </c>
      <c r="AE328" s="167" t="str">
        <f>CONCATENATE(U328,V328,W328,X328,AA328)</f>
        <v>O23011745032024025504004</v>
      </c>
      <c r="AF328" s="167" t="str">
        <f>IFERROR(VLOOKUP(AD328,TD!$J$70:$K$93,2,0)," ")</f>
        <v>PM/0131/0104/45030040255</v>
      </c>
      <c r="AG328" s="114" t="s">
        <v>385</v>
      </c>
      <c r="AH328" s="166" t="s">
        <v>193</v>
      </c>
      <c r="AI328" s="169" t="str">
        <f>CONCATENATE(PAA[[#This Row],[Id Interno]],"-",PAA[[#This Row],[tipo de Contrato (TH talento humano - B/S bienes y/o servicios)]],"-",S328,"-",T328,"-",PAA[[#This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329" spans="2:35" ht="56" x14ac:dyDescent="0.35">
      <c r="B329" s="23">
        <v>20260293</v>
      </c>
      <c r="C329" s="97" t="s">
        <v>820</v>
      </c>
      <c r="D329" s="97" t="s">
        <v>105</v>
      </c>
      <c r="E329" s="97" t="s">
        <v>363</v>
      </c>
      <c r="F329" s="164" t="s">
        <v>144</v>
      </c>
      <c r="G329" s="164" t="s">
        <v>373</v>
      </c>
      <c r="H329" s="170">
        <v>10</v>
      </c>
      <c r="I329" s="170">
        <v>0</v>
      </c>
      <c r="J329" s="114">
        <v>72000000</v>
      </c>
      <c r="K329" s="121" t="s">
        <v>398</v>
      </c>
      <c r="L329" s="164" t="s">
        <v>158</v>
      </c>
      <c r="M329" s="171" t="s">
        <v>421</v>
      </c>
      <c r="N329" s="97" t="s">
        <v>198</v>
      </c>
      <c r="O329" s="144" t="s">
        <v>887</v>
      </c>
      <c r="P329" s="164" t="s">
        <v>348</v>
      </c>
      <c r="Q329" s="123">
        <v>80111600</v>
      </c>
      <c r="R329" s="171" t="s">
        <v>211</v>
      </c>
      <c r="S329" s="166" t="str">
        <f>MID(PAA[[#This Row],[Meta Proyecto de Inversión]],1,4)</f>
        <v>8173</v>
      </c>
      <c r="T329" s="166" t="str">
        <f>MID(PAA[[#This Row],[Meta Proyecto de Inversión]],6,2)</f>
        <v>2-</v>
      </c>
      <c r="U329" s="167" t="str">
        <f>IFERROR(VLOOKUP(N329,TD!$B$54:$F$58,2,0)," ")</f>
        <v>O230117</v>
      </c>
      <c r="V329" s="167" t="str">
        <f>IFERROR(VLOOKUP(N329,TD!$B$54:$F$58,3,0)," ")</f>
        <v>4503</v>
      </c>
      <c r="W329" s="167">
        <f>IFERROR(VLOOKUP(N329,TD!$B$54:$F$58,4,0)," ")</f>
        <v>20240255</v>
      </c>
      <c r="X329" s="166" t="s">
        <v>164</v>
      </c>
      <c r="Y329" s="167" t="str">
        <f>IFERROR(VLOOKUP(X329,TD!$J$55:$K$68,2,0)," ")</f>
        <v>Servicio de atención a incidentes y emergencias.</v>
      </c>
      <c r="Z329" s="168" t="str">
        <f>CONCATENATE(X329,"-",Y329)</f>
        <v>04-Servicio de atención a incidentes y emergencias.</v>
      </c>
      <c r="AA329" s="166" t="s">
        <v>221</v>
      </c>
      <c r="AB329" s="167" t="str">
        <f>IFERROR(VLOOKUP(AA329,TD!$N$55:$O$70,2,0)," ")</f>
        <v>Servicio de atención a emergencias y desastres</v>
      </c>
      <c r="AC329" s="168" t="str">
        <f>CONCATENATE(AA329,"_",AB329)</f>
        <v>004_Servicio de atención a emergencias y desastres</v>
      </c>
      <c r="AD329" s="168" t="str">
        <f>CONCATENATE(Z329," ",AC329)</f>
        <v>04-Servicio de atención a incidentes y emergencias. 004_Servicio de atención a emergencias y desastres</v>
      </c>
      <c r="AE329" s="167" t="str">
        <f>CONCATENATE(U329,V329,W329,X329,AA329)</f>
        <v>O23011745032024025504004</v>
      </c>
      <c r="AF329" s="167" t="str">
        <f>IFERROR(VLOOKUP(AD329,TD!$J$70:$K$93,2,0)," ")</f>
        <v>PM/0131/0104/45030040255</v>
      </c>
      <c r="AG329" s="114" t="s">
        <v>385</v>
      </c>
      <c r="AH329" s="166" t="s">
        <v>193</v>
      </c>
      <c r="AI329" s="169" t="str">
        <f>CONCATENATE(PAA[[#This Row],[Id Interno]],"-",PAA[[#This Row],[tipo de Contrato (TH talento humano - B/S bienes y/o servicios)]],"-",S329,"-",T329,"-",PAA[[#This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30" spans="2:35" s="56" customFormat="1" ht="84" x14ac:dyDescent="0.35">
      <c r="B330" s="23">
        <v>20260294</v>
      </c>
      <c r="C330" s="97" t="s">
        <v>821</v>
      </c>
      <c r="D330" s="97" t="s">
        <v>105</v>
      </c>
      <c r="E330" s="97" t="s">
        <v>363</v>
      </c>
      <c r="F330" s="164" t="s">
        <v>144</v>
      </c>
      <c r="G330" s="164" t="s">
        <v>373</v>
      </c>
      <c r="H330" s="170">
        <v>10</v>
      </c>
      <c r="I330" s="170">
        <v>0</v>
      </c>
      <c r="J330" s="114">
        <v>97000000</v>
      </c>
      <c r="K330" s="121" t="s">
        <v>398</v>
      </c>
      <c r="L330" s="164" t="s">
        <v>158</v>
      </c>
      <c r="M330" s="171" t="s">
        <v>421</v>
      </c>
      <c r="N330" s="97" t="s">
        <v>198</v>
      </c>
      <c r="O330" s="144" t="s">
        <v>887</v>
      </c>
      <c r="P330" s="164" t="s">
        <v>348</v>
      </c>
      <c r="Q330" s="123">
        <v>80111600</v>
      </c>
      <c r="R330" s="171" t="s">
        <v>211</v>
      </c>
      <c r="S330" s="166" t="str">
        <f>MID(PAA[[#This Row],[Meta Proyecto de Inversión]],1,4)</f>
        <v>8173</v>
      </c>
      <c r="T330" s="166" t="str">
        <f>MID(PAA[[#This Row],[Meta Proyecto de Inversión]],6,2)</f>
        <v>2-</v>
      </c>
      <c r="U330" s="167" t="str">
        <f>IFERROR(VLOOKUP(N330,TD!$B$54:$F$58,2,0)," ")</f>
        <v>O230117</v>
      </c>
      <c r="V330" s="167" t="str">
        <f>IFERROR(VLOOKUP(N330,TD!$B$54:$F$58,3,0)," ")</f>
        <v>4503</v>
      </c>
      <c r="W330" s="167">
        <f>IFERROR(VLOOKUP(N330,TD!$B$54:$F$58,4,0)," ")</f>
        <v>20240255</v>
      </c>
      <c r="X330" s="166" t="s">
        <v>164</v>
      </c>
      <c r="Y330" s="167" t="str">
        <f>IFERROR(VLOOKUP(X330,TD!$J$55:$K$68,2,0)," ")</f>
        <v>Servicio de atención a incidentes y emergencias.</v>
      </c>
      <c r="Z330" s="168" t="str">
        <f>CONCATENATE(X330,"-",Y330)</f>
        <v>04-Servicio de atención a incidentes y emergencias.</v>
      </c>
      <c r="AA330" s="166" t="s">
        <v>221</v>
      </c>
      <c r="AB330" s="167" t="str">
        <f>IFERROR(VLOOKUP(AA330,TD!$N$55:$O$70,2,0)," ")</f>
        <v>Servicio de atención a emergencias y desastres</v>
      </c>
      <c r="AC330" s="168" t="str">
        <f>CONCATENATE(AA330,"_",AB330)</f>
        <v>004_Servicio de atención a emergencias y desastres</v>
      </c>
      <c r="AD330" s="168" t="str">
        <f>CONCATENATE(Z330," ",AC330)</f>
        <v>04-Servicio de atención a incidentes y emergencias. 004_Servicio de atención a emergencias y desastres</v>
      </c>
      <c r="AE330" s="167" t="str">
        <f>CONCATENATE(U330,V330,W330,X330,AA330)</f>
        <v>O23011745032024025504004</v>
      </c>
      <c r="AF330" s="167" t="str">
        <f>IFERROR(VLOOKUP(AD330,TD!$J$70:$K$93,2,0)," ")</f>
        <v>PM/0131/0104/45030040255</v>
      </c>
      <c r="AG330" s="114" t="s">
        <v>385</v>
      </c>
      <c r="AH330" s="166" t="s">
        <v>193</v>
      </c>
      <c r="AI330" s="169" t="str">
        <f>CONCATENATE(PAA[[#This Row],[Id Interno]],"-",PAA[[#This Row],[tipo de Contrato (TH talento humano - B/S bienes y/o servicios)]],"-",S330,"-",T330,"-",PAA[[#This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331" spans="2:35" s="56" customFormat="1" ht="84" x14ac:dyDescent="0.35">
      <c r="B331" s="23">
        <v>20260295</v>
      </c>
      <c r="C331" s="97" t="s">
        <v>820</v>
      </c>
      <c r="D331" s="97" t="s">
        <v>105</v>
      </c>
      <c r="E331" s="97" t="s">
        <v>363</v>
      </c>
      <c r="F331" s="164" t="s">
        <v>144</v>
      </c>
      <c r="G331" s="164" t="s">
        <v>373</v>
      </c>
      <c r="H331" s="170">
        <v>10</v>
      </c>
      <c r="I331" s="170">
        <v>0</v>
      </c>
      <c r="J331" s="114">
        <v>72000000</v>
      </c>
      <c r="K331" s="121" t="s">
        <v>398</v>
      </c>
      <c r="L331" s="164" t="s">
        <v>158</v>
      </c>
      <c r="M331" s="171" t="s">
        <v>421</v>
      </c>
      <c r="N331" s="97" t="s">
        <v>198</v>
      </c>
      <c r="O331" s="144" t="s">
        <v>887</v>
      </c>
      <c r="P331" s="164" t="s">
        <v>348</v>
      </c>
      <c r="Q331" s="123">
        <v>80111600</v>
      </c>
      <c r="R331" s="171" t="s">
        <v>211</v>
      </c>
      <c r="S331" s="166" t="str">
        <f>MID(PAA[[#This Row],[Meta Proyecto de Inversión]],1,4)</f>
        <v>8173</v>
      </c>
      <c r="T331" s="166" t="str">
        <f>MID(PAA[[#This Row],[Meta Proyecto de Inversión]],6,2)</f>
        <v>2-</v>
      </c>
      <c r="U331" s="167" t="str">
        <f>IFERROR(VLOOKUP(N331,TD!$B$54:$F$58,2,0)," ")</f>
        <v>O230117</v>
      </c>
      <c r="V331" s="167" t="str">
        <f>IFERROR(VLOOKUP(N331,TD!$B$54:$F$58,3,0)," ")</f>
        <v>4503</v>
      </c>
      <c r="W331" s="167">
        <f>IFERROR(VLOOKUP(N331,TD!$B$54:$F$58,4,0)," ")</f>
        <v>20240255</v>
      </c>
      <c r="X331" s="166" t="s">
        <v>164</v>
      </c>
      <c r="Y331" s="167" t="str">
        <f>IFERROR(VLOOKUP(X331,TD!$J$55:$K$68,2,0)," ")</f>
        <v>Servicio de atención a incidentes y emergencias.</v>
      </c>
      <c r="Z331" s="168" t="str">
        <f>CONCATENATE(X331,"-",Y331)</f>
        <v>04-Servicio de atención a incidentes y emergencias.</v>
      </c>
      <c r="AA331" s="166" t="s">
        <v>221</v>
      </c>
      <c r="AB331" s="167" t="str">
        <f>IFERROR(VLOOKUP(AA331,TD!$N$55:$O$70,2,0)," ")</f>
        <v>Servicio de atención a emergencias y desastres</v>
      </c>
      <c r="AC331" s="168" t="str">
        <f>CONCATENATE(AA331,"_",AB331)</f>
        <v>004_Servicio de atención a emergencias y desastres</v>
      </c>
      <c r="AD331" s="168" t="str">
        <f>CONCATENATE(Z331," ",AC331)</f>
        <v>04-Servicio de atención a incidentes y emergencias. 004_Servicio de atención a emergencias y desastres</v>
      </c>
      <c r="AE331" s="167" t="str">
        <f>CONCATENATE(U331,V331,W331,X331,AA331)</f>
        <v>O23011745032024025504004</v>
      </c>
      <c r="AF331" s="167" t="str">
        <f>IFERROR(VLOOKUP(AD331,TD!$J$70:$K$93,2,0)," ")</f>
        <v>PM/0131/0104/45030040255</v>
      </c>
      <c r="AG331" s="114" t="s">
        <v>385</v>
      </c>
      <c r="AH331" s="166" t="s">
        <v>193</v>
      </c>
      <c r="AI331" s="169" t="str">
        <f>CONCATENATE(PAA[[#This Row],[Id Interno]],"-",PAA[[#This Row],[tipo de Contrato (TH talento humano - B/S bienes y/o servicios)]],"-",S331,"-",T331,"-",PAA[[#This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332" spans="2:35" ht="84" x14ac:dyDescent="0.35">
      <c r="B332" s="23">
        <v>20260296</v>
      </c>
      <c r="C332" s="97" t="s">
        <v>472</v>
      </c>
      <c r="D332" s="97" t="s">
        <v>105</v>
      </c>
      <c r="E332" s="97" t="s">
        <v>363</v>
      </c>
      <c r="F332" s="164" t="s">
        <v>144</v>
      </c>
      <c r="G332" s="164" t="s">
        <v>373</v>
      </c>
      <c r="H332" s="170">
        <v>5</v>
      </c>
      <c r="I332" s="170">
        <v>0</v>
      </c>
      <c r="J332" s="114">
        <v>32500000</v>
      </c>
      <c r="K332" s="121" t="s">
        <v>398</v>
      </c>
      <c r="L332" s="164" t="s">
        <v>158</v>
      </c>
      <c r="M332" s="171" t="s">
        <v>421</v>
      </c>
      <c r="N332" s="97" t="s">
        <v>198</v>
      </c>
      <c r="O332" s="144" t="s">
        <v>887</v>
      </c>
      <c r="P332" s="164" t="s">
        <v>348</v>
      </c>
      <c r="Q332" s="123">
        <v>80111600</v>
      </c>
      <c r="R332" s="171" t="s">
        <v>211</v>
      </c>
      <c r="S332" s="166" t="str">
        <f>MID(PAA[[#This Row],[Meta Proyecto de Inversión]],1,4)</f>
        <v>8173</v>
      </c>
      <c r="T332" s="166" t="str">
        <f>MID(PAA[[#This Row],[Meta Proyecto de Inversión]],6,2)</f>
        <v>2-</v>
      </c>
      <c r="U332" s="167" t="str">
        <f>IFERROR(VLOOKUP(N332,TD!$B$54:$F$58,2,0)," ")</f>
        <v>O230117</v>
      </c>
      <c r="V332" s="167" t="str">
        <f>IFERROR(VLOOKUP(N332,TD!$B$54:$F$58,3,0)," ")</f>
        <v>4503</v>
      </c>
      <c r="W332" s="167">
        <f>IFERROR(VLOOKUP(N332,TD!$B$54:$F$58,4,0)," ")</f>
        <v>20240255</v>
      </c>
      <c r="X332" s="166" t="s">
        <v>164</v>
      </c>
      <c r="Y332" s="167" t="str">
        <f>IFERROR(VLOOKUP(X332,TD!$J$55:$K$68,2,0)," ")</f>
        <v>Servicio de atención a incidentes y emergencias.</v>
      </c>
      <c r="Z332" s="168" t="str">
        <f>CONCATENATE(X332,"-",Y332)</f>
        <v>04-Servicio de atención a incidentes y emergencias.</v>
      </c>
      <c r="AA332" s="166" t="s">
        <v>221</v>
      </c>
      <c r="AB332" s="167" t="str">
        <f>IFERROR(VLOOKUP(AA332,TD!$N$55:$O$70,2,0)," ")</f>
        <v>Servicio de atención a emergencias y desastres</v>
      </c>
      <c r="AC332" s="168" t="str">
        <f>CONCATENATE(AA332,"_",AB332)</f>
        <v>004_Servicio de atención a emergencias y desastres</v>
      </c>
      <c r="AD332" s="168" t="str">
        <f>CONCATENATE(Z332," ",AC332)</f>
        <v>04-Servicio de atención a incidentes y emergencias. 004_Servicio de atención a emergencias y desastres</v>
      </c>
      <c r="AE332" s="167" t="str">
        <f>CONCATENATE(U332,V332,W332,X332,AA332)</f>
        <v>O23011745032024025504004</v>
      </c>
      <c r="AF332" s="167" t="str">
        <f>IFERROR(VLOOKUP(AD332,TD!$J$70:$K$93,2,0)," ")</f>
        <v>PM/0131/0104/45030040255</v>
      </c>
      <c r="AG332" s="114" t="s">
        <v>385</v>
      </c>
      <c r="AH332" s="166" t="s">
        <v>194</v>
      </c>
      <c r="AI332" s="169" t="str">
        <f>CONCATENATE(PAA[[#This Row],[Id Interno]],"-",PAA[[#This Row],[tipo de Contrato (TH talento humano - B/S bienes y/o servicios)]],"-",S332,"-",T332,"-",PAA[[#This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333" spans="2:35" s="56" customFormat="1" ht="98" x14ac:dyDescent="0.35">
      <c r="B333" s="23">
        <v>20260297</v>
      </c>
      <c r="C333" s="97" t="s">
        <v>885</v>
      </c>
      <c r="D333" s="97" t="s">
        <v>105</v>
      </c>
      <c r="E333" s="97" t="s">
        <v>363</v>
      </c>
      <c r="F333" s="164" t="s">
        <v>144</v>
      </c>
      <c r="G333" s="164" t="s">
        <v>373</v>
      </c>
      <c r="H333" s="170">
        <v>4</v>
      </c>
      <c r="I333" s="170">
        <v>15</v>
      </c>
      <c r="J333" s="114">
        <v>42750000</v>
      </c>
      <c r="K333" s="121" t="s">
        <v>398</v>
      </c>
      <c r="L333" s="164" t="s">
        <v>158</v>
      </c>
      <c r="M333" s="171" t="s">
        <v>421</v>
      </c>
      <c r="N333" s="97" t="s">
        <v>198</v>
      </c>
      <c r="O333" s="144" t="s">
        <v>887</v>
      </c>
      <c r="P333" s="164" t="s">
        <v>348</v>
      </c>
      <c r="Q333" s="123">
        <v>80111600</v>
      </c>
      <c r="R333" s="171" t="s">
        <v>211</v>
      </c>
      <c r="S333" s="166" t="str">
        <f>MID(PAA[[#This Row],[Meta Proyecto de Inversión]],1,4)</f>
        <v>8173</v>
      </c>
      <c r="T333" s="166" t="str">
        <f>MID(PAA[[#This Row],[Meta Proyecto de Inversión]],6,2)</f>
        <v>2-</v>
      </c>
      <c r="U333" s="167" t="str">
        <f>IFERROR(VLOOKUP(N333,TD!$B$54:$F$58,2,0)," ")</f>
        <v>O230117</v>
      </c>
      <c r="V333" s="167" t="str">
        <f>IFERROR(VLOOKUP(N333,TD!$B$54:$F$58,3,0)," ")</f>
        <v>4503</v>
      </c>
      <c r="W333" s="167">
        <f>IFERROR(VLOOKUP(N333,TD!$B$54:$F$58,4,0)," ")</f>
        <v>20240255</v>
      </c>
      <c r="X333" s="166" t="s">
        <v>164</v>
      </c>
      <c r="Y333" s="167" t="str">
        <f>IFERROR(VLOOKUP(X333,TD!$J$55:$K$68,2,0)," ")</f>
        <v>Servicio de atención a incidentes y emergencias.</v>
      </c>
      <c r="Z333" s="168" t="str">
        <f>CONCATENATE(X333,"-",Y333)</f>
        <v>04-Servicio de atención a incidentes y emergencias.</v>
      </c>
      <c r="AA333" s="166" t="s">
        <v>221</v>
      </c>
      <c r="AB333" s="167" t="str">
        <f>IFERROR(VLOOKUP(AA333,TD!$N$55:$O$70,2,0)," ")</f>
        <v>Servicio de atención a emergencias y desastres</v>
      </c>
      <c r="AC333" s="168" t="str">
        <f>CONCATENATE(AA333,"_",AB333)</f>
        <v>004_Servicio de atención a emergencias y desastres</v>
      </c>
      <c r="AD333" s="168" t="str">
        <f>CONCATENATE(Z333," ",AC333)</f>
        <v>04-Servicio de atención a incidentes y emergencias. 004_Servicio de atención a emergencias y desastres</v>
      </c>
      <c r="AE333" s="167" t="str">
        <f>CONCATENATE(U333,V333,W333,X333,AA333)</f>
        <v>O23011745032024025504004</v>
      </c>
      <c r="AF333" s="167" t="str">
        <f>IFERROR(VLOOKUP(AD333,TD!$J$70:$K$93,2,0)," ")</f>
        <v>PM/0131/0104/45030040255</v>
      </c>
      <c r="AG333" s="114" t="s">
        <v>385</v>
      </c>
      <c r="AH333" s="166" t="s">
        <v>194</v>
      </c>
      <c r="AI333" s="169" t="str">
        <f>CONCATENATE(PAA[[#This Row],[Id Interno]],"-",PAA[[#This Row],[tipo de Contrato (TH talento humano - B/S bienes y/o servicios)]],"-",S333,"-",T333,"-",PAA[[#This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334" spans="2:35" ht="112" x14ac:dyDescent="0.35">
      <c r="B334" s="23">
        <v>20260298</v>
      </c>
      <c r="C334" s="97" t="s">
        <v>473</v>
      </c>
      <c r="D334" s="97" t="s">
        <v>105</v>
      </c>
      <c r="E334" s="97" t="s">
        <v>363</v>
      </c>
      <c r="F334" s="164" t="s">
        <v>144</v>
      </c>
      <c r="G334" s="164" t="s">
        <v>373</v>
      </c>
      <c r="H334" s="170">
        <v>4</v>
      </c>
      <c r="I334" s="170">
        <v>15</v>
      </c>
      <c r="J334" s="114">
        <v>42750000</v>
      </c>
      <c r="K334" s="121" t="s">
        <v>398</v>
      </c>
      <c r="L334" s="164" t="s">
        <v>158</v>
      </c>
      <c r="M334" s="171" t="s">
        <v>421</v>
      </c>
      <c r="N334" s="97" t="s">
        <v>198</v>
      </c>
      <c r="O334" s="144" t="s">
        <v>887</v>
      </c>
      <c r="P334" s="164" t="s">
        <v>348</v>
      </c>
      <c r="Q334" s="123">
        <v>80111600</v>
      </c>
      <c r="R334" s="171" t="s">
        <v>211</v>
      </c>
      <c r="S334" s="166" t="str">
        <f>MID(PAA[[#This Row],[Meta Proyecto de Inversión]],1,4)</f>
        <v>8173</v>
      </c>
      <c r="T334" s="166" t="str">
        <f>MID(PAA[[#This Row],[Meta Proyecto de Inversión]],6,2)</f>
        <v>2-</v>
      </c>
      <c r="U334" s="167" t="str">
        <f>IFERROR(VLOOKUP(N334,TD!$B$54:$F$58,2,0)," ")</f>
        <v>O230117</v>
      </c>
      <c r="V334" s="167" t="str">
        <f>IFERROR(VLOOKUP(N334,TD!$B$54:$F$58,3,0)," ")</f>
        <v>4503</v>
      </c>
      <c r="W334" s="167">
        <f>IFERROR(VLOOKUP(N334,TD!$B$54:$F$58,4,0)," ")</f>
        <v>20240255</v>
      </c>
      <c r="X334" s="166" t="s">
        <v>164</v>
      </c>
      <c r="Y334" s="167" t="str">
        <f>IFERROR(VLOOKUP(X334,TD!$J$55:$K$68,2,0)," ")</f>
        <v>Servicio de atención a incidentes y emergencias.</v>
      </c>
      <c r="Z334" s="168" t="str">
        <f>CONCATENATE(X334,"-",Y334)</f>
        <v>04-Servicio de atención a incidentes y emergencias.</v>
      </c>
      <c r="AA334" s="166" t="s">
        <v>221</v>
      </c>
      <c r="AB334" s="167" t="str">
        <f>IFERROR(VLOOKUP(AA334,TD!$N$55:$O$70,2,0)," ")</f>
        <v>Servicio de atención a emergencias y desastres</v>
      </c>
      <c r="AC334" s="168" t="str">
        <f>CONCATENATE(AA334,"_",AB334)</f>
        <v>004_Servicio de atención a emergencias y desastres</v>
      </c>
      <c r="AD334" s="168" t="str">
        <f>CONCATENATE(Z334," ",AC334)</f>
        <v>04-Servicio de atención a incidentes y emergencias. 004_Servicio de atención a emergencias y desastres</v>
      </c>
      <c r="AE334" s="167" t="str">
        <f>CONCATENATE(U334,V334,W334,X334,AA334)</f>
        <v>O23011745032024025504004</v>
      </c>
      <c r="AF334" s="167" t="str">
        <f>IFERROR(VLOOKUP(AD334,TD!$J$70:$K$93,2,0)," ")</f>
        <v>PM/0131/0104/45030040255</v>
      </c>
      <c r="AG334" s="114" t="s">
        <v>385</v>
      </c>
      <c r="AH334" s="166" t="s">
        <v>194</v>
      </c>
      <c r="AI334" s="169" t="str">
        <f>CONCATENATE(PAA[[#This Row],[Id Interno]],"-",PAA[[#This Row],[tipo de Contrato (TH talento humano - B/S bienes y/o servicios)]],"-",S334,"-",T334,"-",PAA[[#This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335" spans="2:35" s="56" customFormat="1" ht="98" x14ac:dyDescent="0.35">
      <c r="B335" s="23">
        <v>20260299</v>
      </c>
      <c r="C335" s="97" t="s">
        <v>474</v>
      </c>
      <c r="D335" s="97" t="s">
        <v>105</v>
      </c>
      <c r="E335" s="97" t="s">
        <v>363</v>
      </c>
      <c r="F335" s="164" t="s">
        <v>144</v>
      </c>
      <c r="G335" s="164" t="s">
        <v>373</v>
      </c>
      <c r="H335" s="170">
        <v>3</v>
      </c>
      <c r="I335" s="170">
        <v>0</v>
      </c>
      <c r="J335" s="114">
        <v>28500000</v>
      </c>
      <c r="K335" s="121" t="s">
        <v>398</v>
      </c>
      <c r="L335" s="164" t="s">
        <v>158</v>
      </c>
      <c r="M335" s="171" t="s">
        <v>421</v>
      </c>
      <c r="N335" s="97" t="s">
        <v>198</v>
      </c>
      <c r="O335" s="144" t="s">
        <v>887</v>
      </c>
      <c r="P335" s="164" t="s">
        <v>348</v>
      </c>
      <c r="Q335" s="123">
        <v>80111600</v>
      </c>
      <c r="R335" s="171" t="s">
        <v>211</v>
      </c>
      <c r="S335" s="166" t="str">
        <f>MID(PAA[[#This Row],[Meta Proyecto de Inversión]],1,4)</f>
        <v>8173</v>
      </c>
      <c r="T335" s="166" t="str">
        <f>MID(PAA[[#This Row],[Meta Proyecto de Inversión]],6,2)</f>
        <v>2-</v>
      </c>
      <c r="U335" s="167" t="str">
        <f>IFERROR(VLOOKUP(N335,TD!$B$54:$F$58,2,0)," ")</f>
        <v>O230117</v>
      </c>
      <c r="V335" s="167" t="str">
        <f>IFERROR(VLOOKUP(N335,TD!$B$54:$F$58,3,0)," ")</f>
        <v>4503</v>
      </c>
      <c r="W335" s="167">
        <f>IFERROR(VLOOKUP(N335,TD!$B$54:$F$58,4,0)," ")</f>
        <v>20240255</v>
      </c>
      <c r="X335" s="166" t="s">
        <v>164</v>
      </c>
      <c r="Y335" s="167" t="str">
        <f>IFERROR(VLOOKUP(X335,TD!$J$55:$K$68,2,0)," ")</f>
        <v>Servicio de atención a incidentes y emergencias.</v>
      </c>
      <c r="Z335" s="168" t="str">
        <f>CONCATENATE(X335,"-",Y335)</f>
        <v>04-Servicio de atención a incidentes y emergencias.</v>
      </c>
      <c r="AA335" s="166" t="s">
        <v>221</v>
      </c>
      <c r="AB335" s="167" t="str">
        <f>IFERROR(VLOOKUP(AA335,TD!$N$55:$O$70,2,0)," ")</f>
        <v>Servicio de atención a emergencias y desastres</v>
      </c>
      <c r="AC335" s="168" t="str">
        <f>CONCATENATE(AA335,"_",AB335)</f>
        <v>004_Servicio de atención a emergencias y desastres</v>
      </c>
      <c r="AD335" s="168" t="str">
        <f>CONCATENATE(Z335," ",AC335)</f>
        <v>04-Servicio de atención a incidentes y emergencias. 004_Servicio de atención a emergencias y desastres</v>
      </c>
      <c r="AE335" s="167" t="str">
        <f>CONCATENATE(U335,V335,W335,X335,AA335)</f>
        <v>O23011745032024025504004</v>
      </c>
      <c r="AF335" s="167" t="str">
        <f>IFERROR(VLOOKUP(AD335,TD!$J$70:$K$93,2,0)," ")</f>
        <v>PM/0131/0104/45030040255</v>
      </c>
      <c r="AG335" s="114" t="s">
        <v>385</v>
      </c>
      <c r="AH335" s="166" t="s">
        <v>194</v>
      </c>
      <c r="AI335" s="169" t="str">
        <f>CONCATENATE(PAA[[#This Row],[Id Interno]],"-",PAA[[#This Row],[tipo de Contrato (TH talento humano - B/S bienes y/o servicios)]],"-",S335,"-",T335,"-",PAA[[#This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336" spans="2:35" ht="84" x14ac:dyDescent="0.35">
      <c r="B336" s="23">
        <v>20260300</v>
      </c>
      <c r="C336" s="97" t="s">
        <v>822</v>
      </c>
      <c r="D336" s="97" t="s">
        <v>105</v>
      </c>
      <c r="E336" s="97" t="s">
        <v>363</v>
      </c>
      <c r="F336" s="164" t="s">
        <v>144</v>
      </c>
      <c r="G336" s="164" t="s">
        <v>373</v>
      </c>
      <c r="H336" s="170">
        <v>8</v>
      </c>
      <c r="I336" s="170">
        <v>0</v>
      </c>
      <c r="J336" s="114">
        <v>72000000</v>
      </c>
      <c r="K336" s="121" t="s">
        <v>398</v>
      </c>
      <c r="L336" s="164" t="s">
        <v>158</v>
      </c>
      <c r="M336" s="171" t="s">
        <v>421</v>
      </c>
      <c r="N336" s="97" t="s">
        <v>198</v>
      </c>
      <c r="O336" s="144" t="s">
        <v>887</v>
      </c>
      <c r="P336" s="164" t="s">
        <v>348</v>
      </c>
      <c r="Q336" s="123">
        <v>80111600</v>
      </c>
      <c r="R336" s="171" t="s">
        <v>211</v>
      </c>
      <c r="S336" s="166" t="str">
        <f>MID(PAA[[#This Row],[Meta Proyecto de Inversión]],1,4)</f>
        <v>8173</v>
      </c>
      <c r="T336" s="166" t="str">
        <f>MID(PAA[[#This Row],[Meta Proyecto de Inversión]],6,2)</f>
        <v>2-</v>
      </c>
      <c r="U336" s="167" t="str">
        <f>IFERROR(VLOOKUP(N336,TD!$B$54:$F$58,2,0)," ")</f>
        <v>O230117</v>
      </c>
      <c r="V336" s="167" t="str">
        <f>IFERROR(VLOOKUP(N336,TD!$B$54:$F$58,3,0)," ")</f>
        <v>4503</v>
      </c>
      <c r="W336" s="167">
        <f>IFERROR(VLOOKUP(N336,TD!$B$54:$F$58,4,0)," ")</f>
        <v>20240255</v>
      </c>
      <c r="X336" s="166" t="s">
        <v>164</v>
      </c>
      <c r="Y336" s="167" t="str">
        <f>IFERROR(VLOOKUP(X336,TD!$J$55:$K$68,2,0)," ")</f>
        <v>Servicio de atención a incidentes y emergencias.</v>
      </c>
      <c r="Z336" s="168" t="str">
        <f>CONCATENATE(X336,"-",Y336)</f>
        <v>04-Servicio de atención a incidentes y emergencias.</v>
      </c>
      <c r="AA336" s="166" t="s">
        <v>221</v>
      </c>
      <c r="AB336" s="167" t="str">
        <f>IFERROR(VLOOKUP(AA336,TD!$N$55:$O$70,2,0)," ")</f>
        <v>Servicio de atención a emergencias y desastres</v>
      </c>
      <c r="AC336" s="168" t="str">
        <f>CONCATENATE(AA336,"_",AB336)</f>
        <v>004_Servicio de atención a emergencias y desastres</v>
      </c>
      <c r="AD336" s="168" t="str">
        <f>CONCATENATE(Z336," ",AC336)</f>
        <v>04-Servicio de atención a incidentes y emergencias. 004_Servicio de atención a emergencias y desastres</v>
      </c>
      <c r="AE336" s="167" t="str">
        <f>CONCATENATE(U336,V336,W336,X336,AA336)</f>
        <v>O23011745032024025504004</v>
      </c>
      <c r="AF336" s="167" t="str">
        <f>IFERROR(VLOOKUP(AD336,TD!$J$70:$K$93,2,0)," ")</f>
        <v>PM/0131/0104/45030040255</v>
      </c>
      <c r="AG336" s="114" t="s">
        <v>385</v>
      </c>
      <c r="AH336" s="166" t="s">
        <v>193</v>
      </c>
      <c r="AI336" s="169" t="str">
        <f>CONCATENATE(PAA[[#This Row],[Id Interno]],"-",PAA[[#This Row],[tipo de Contrato (TH talento humano - B/S bienes y/o servicios)]],"-",S336,"-",T336,"-",PAA[[#This Row],[Objeto de la contratación]])</f>
        <v>20260300-TH-8173-2--Prestación de servicios profesionales para apoyar jurídicamente los proyectos, procesos y procedimientos, para e desarrollo de los programas de la subdirección operativa-S.O</v>
      </c>
    </row>
    <row r="337" spans="2:35" s="56" customFormat="1" ht="56" x14ac:dyDescent="0.35">
      <c r="B337" s="23">
        <v>20260301</v>
      </c>
      <c r="C337" s="97" t="s">
        <v>823</v>
      </c>
      <c r="D337" s="97" t="s">
        <v>105</v>
      </c>
      <c r="E337" s="97" t="s">
        <v>363</v>
      </c>
      <c r="F337" s="164" t="s">
        <v>144</v>
      </c>
      <c r="G337" s="164" t="s">
        <v>373</v>
      </c>
      <c r="H337" s="170">
        <v>10</v>
      </c>
      <c r="I337" s="170">
        <v>0</v>
      </c>
      <c r="J337" s="114">
        <v>97000000</v>
      </c>
      <c r="K337" s="121" t="s">
        <v>398</v>
      </c>
      <c r="L337" s="164" t="s">
        <v>158</v>
      </c>
      <c r="M337" s="171" t="s">
        <v>421</v>
      </c>
      <c r="N337" s="97" t="s">
        <v>198</v>
      </c>
      <c r="O337" s="144" t="s">
        <v>887</v>
      </c>
      <c r="P337" s="164" t="s">
        <v>348</v>
      </c>
      <c r="Q337" s="123">
        <v>80111600</v>
      </c>
      <c r="R337" s="171" t="s">
        <v>211</v>
      </c>
      <c r="S337" s="166" t="str">
        <f>MID(PAA[[#This Row],[Meta Proyecto de Inversión]],1,4)</f>
        <v>8173</v>
      </c>
      <c r="T337" s="166" t="str">
        <f>MID(PAA[[#This Row],[Meta Proyecto de Inversión]],6,2)</f>
        <v>2-</v>
      </c>
      <c r="U337" s="167" t="str">
        <f>IFERROR(VLOOKUP(N337,TD!$B$54:$F$58,2,0)," ")</f>
        <v>O230117</v>
      </c>
      <c r="V337" s="167" t="str">
        <f>IFERROR(VLOOKUP(N337,TD!$B$54:$F$58,3,0)," ")</f>
        <v>4503</v>
      </c>
      <c r="W337" s="167">
        <f>IFERROR(VLOOKUP(N337,TD!$B$54:$F$58,4,0)," ")</f>
        <v>20240255</v>
      </c>
      <c r="X337" s="166" t="s">
        <v>164</v>
      </c>
      <c r="Y337" s="167" t="str">
        <f>IFERROR(VLOOKUP(X337,TD!$J$55:$K$68,2,0)," ")</f>
        <v>Servicio de atención a incidentes y emergencias.</v>
      </c>
      <c r="Z337" s="168" t="str">
        <f>CONCATENATE(X337,"-",Y337)</f>
        <v>04-Servicio de atención a incidentes y emergencias.</v>
      </c>
      <c r="AA337" s="166" t="s">
        <v>221</v>
      </c>
      <c r="AB337" s="167" t="str">
        <f>IFERROR(VLOOKUP(AA337,TD!$N$55:$O$70,2,0)," ")</f>
        <v>Servicio de atención a emergencias y desastres</v>
      </c>
      <c r="AC337" s="168" t="str">
        <f>CONCATENATE(AA337,"_",AB337)</f>
        <v>004_Servicio de atención a emergencias y desastres</v>
      </c>
      <c r="AD337" s="168" t="str">
        <f>CONCATENATE(Z337," ",AC337)</f>
        <v>04-Servicio de atención a incidentes y emergencias. 004_Servicio de atención a emergencias y desastres</v>
      </c>
      <c r="AE337" s="167" t="str">
        <f>CONCATENATE(U337,V337,W337,X337,AA337)</f>
        <v>O23011745032024025504004</v>
      </c>
      <c r="AF337" s="167" t="str">
        <f>IFERROR(VLOOKUP(AD337,TD!$J$70:$K$93,2,0)," ")</f>
        <v>PM/0131/0104/45030040255</v>
      </c>
      <c r="AG337" s="114" t="s">
        <v>385</v>
      </c>
      <c r="AH337" s="166" t="s">
        <v>193</v>
      </c>
      <c r="AI337" s="169" t="str">
        <f>CONCATENATE(PAA[[#This Row],[Id Interno]],"-",PAA[[#This Row],[tipo de Contrato (TH talento humano - B/S bienes y/o servicios)]],"-",S337,"-",T337,"-",PAA[[#This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38" spans="2:35" ht="56" x14ac:dyDescent="0.35">
      <c r="B338" s="23">
        <v>20260302</v>
      </c>
      <c r="C338" s="97" t="s">
        <v>824</v>
      </c>
      <c r="D338" s="97" t="s">
        <v>105</v>
      </c>
      <c r="E338" s="97" t="s">
        <v>363</v>
      </c>
      <c r="F338" s="164" t="s">
        <v>144</v>
      </c>
      <c r="G338" s="164" t="s">
        <v>373</v>
      </c>
      <c r="H338" s="170">
        <v>8</v>
      </c>
      <c r="I338" s="170">
        <v>0</v>
      </c>
      <c r="J338" s="114">
        <v>37600000</v>
      </c>
      <c r="K338" s="121" t="s">
        <v>398</v>
      </c>
      <c r="L338" s="164" t="s">
        <v>158</v>
      </c>
      <c r="M338" s="171" t="s">
        <v>421</v>
      </c>
      <c r="N338" s="97" t="s">
        <v>198</v>
      </c>
      <c r="O338" s="144" t="s">
        <v>887</v>
      </c>
      <c r="P338" s="164" t="s">
        <v>348</v>
      </c>
      <c r="Q338" s="123">
        <v>80111600</v>
      </c>
      <c r="R338" s="171" t="s">
        <v>211</v>
      </c>
      <c r="S338" s="166" t="str">
        <f>MID(PAA[[#This Row],[Meta Proyecto de Inversión]],1,4)</f>
        <v>8173</v>
      </c>
      <c r="T338" s="166" t="str">
        <f>MID(PAA[[#This Row],[Meta Proyecto de Inversión]],6,2)</f>
        <v>2-</v>
      </c>
      <c r="U338" s="167" t="str">
        <f>IFERROR(VLOOKUP(N338,TD!$B$54:$F$58,2,0)," ")</f>
        <v>O230117</v>
      </c>
      <c r="V338" s="167" t="str">
        <f>IFERROR(VLOOKUP(N338,TD!$B$54:$F$58,3,0)," ")</f>
        <v>4503</v>
      </c>
      <c r="W338" s="167">
        <f>IFERROR(VLOOKUP(N338,TD!$B$54:$F$58,4,0)," ")</f>
        <v>20240255</v>
      </c>
      <c r="X338" s="166" t="s">
        <v>164</v>
      </c>
      <c r="Y338" s="167" t="str">
        <f>IFERROR(VLOOKUP(X338,TD!$J$55:$K$68,2,0)," ")</f>
        <v>Servicio de atención a incidentes y emergencias.</v>
      </c>
      <c r="Z338" s="168" t="str">
        <f>CONCATENATE(X338,"-",Y338)</f>
        <v>04-Servicio de atención a incidentes y emergencias.</v>
      </c>
      <c r="AA338" s="166" t="s">
        <v>221</v>
      </c>
      <c r="AB338" s="167" t="str">
        <f>IFERROR(VLOOKUP(AA338,TD!$N$55:$O$70,2,0)," ")</f>
        <v>Servicio de atención a emergencias y desastres</v>
      </c>
      <c r="AC338" s="168" t="str">
        <f>CONCATENATE(AA338,"_",AB338)</f>
        <v>004_Servicio de atención a emergencias y desastres</v>
      </c>
      <c r="AD338" s="168" t="str">
        <f>CONCATENATE(Z338," ",AC338)</f>
        <v>04-Servicio de atención a incidentes y emergencias. 004_Servicio de atención a emergencias y desastres</v>
      </c>
      <c r="AE338" s="167" t="str">
        <f>CONCATENATE(U338,V338,W338,X338,AA338)</f>
        <v>O23011745032024025504004</v>
      </c>
      <c r="AF338" s="167" t="str">
        <f>IFERROR(VLOOKUP(AD338,TD!$J$70:$K$93,2,0)," ")</f>
        <v>PM/0131/0104/45030040255</v>
      </c>
      <c r="AG338" s="114" t="s">
        <v>385</v>
      </c>
      <c r="AH338" s="166" t="s">
        <v>193</v>
      </c>
      <c r="AI338" s="169" t="str">
        <f>CONCATENATE(PAA[[#This Row],[Id Interno]],"-",PAA[[#This Row],[tipo de Contrato (TH talento humano - B/S bienes y/o servicios)]],"-",S338,"-",T338,"-",PAA[[#This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39" spans="2:35" s="56" customFormat="1" ht="56" x14ac:dyDescent="0.35">
      <c r="B339" s="23">
        <v>20260303</v>
      </c>
      <c r="C339" s="97" t="s">
        <v>825</v>
      </c>
      <c r="D339" s="97" t="s">
        <v>105</v>
      </c>
      <c r="E339" s="97" t="s">
        <v>363</v>
      </c>
      <c r="F339" s="164" t="s">
        <v>144</v>
      </c>
      <c r="G339" s="164" t="s">
        <v>373</v>
      </c>
      <c r="H339" s="170">
        <v>5</v>
      </c>
      <c r="I339" s="170">
        <v>4</v>
      </c>
      <c r="J339" s="114">
        <v>49793333</v>
      </c>
      <c r="K339" s="121" t="s">
        <v>398</v>
      </c>
      <c r="L339" s="164" t="s">
        <v>158</v>
      </c>
      <c r="M339" s="171" t="s">
        <v>421</v>
      </c>
      <c r="N339" s="97" t="s">
        <v>198</v>
      </c>
      <c r="O339" s="144" t="s">
        <v>887</v>
      </c>
      <c r="P339" s="164" t="s">
        <v>348</v>
      </c>
      <c r="Q339" s="123">
        <v>80111600</v>
      </c>
      <c r="R339" s="171" t="s">
        <v>211</v>
      </c>
      <c r="S339" s="166" t="str">
        <f>MID(PAA[[#This Row],[Meta Proyecto de Inversión]],1,4)</f>
        <v>8173</v>
      </c>
      <c r="T339" s="166" t="str">
        <f>MID(PAA[[#This Row],[Meta Proyecto de Inversión]],6,2)</f>
        <v>2-</v>
      </c>
      <c r="U339" s="167" t="str">
        <f>IFERROR(VLOOKUP(N339,TD!$B$54:$F$58,2,0)," ")</f>
        <v>O230117</v>
      </c>
      <c r="V339" s="167" t="str">
        <f>IFERROR(VLOOKUP(N339,TD!$B$54:$F$58,3,0)," ")</f>
        <v>4503</v>
      </c>
      <c r="W339" s="167">
        <f>IFERROR(VLOOKUP(N339,TD!$B$54:$F$58,4,0)," ")</f>
        <v>20240255</v>
      </c>
      <c r="X339" s="166" t="s">
        <v>164</v>
      </c>
      <c r="Y339" s="167" t="str">
        <f>IFERROR(VLOOKUP(X339,TD!$J$55:$K$68,2,0)," ")</f>
        <v>Servicio de atención a incidentes y emergencias.</v>
      </c>
      <c r="Z339" s="168" t="str">
        <f>CONCATENATE(X339,"-",Y339)</f>
        <v>04-Servicio de atención a incidentes y emergencias.</v>
      </c>
      <c r="AA339" s="166" t="s">
        <v>221</v>
      </c>
      <c r="AB339" s="167" t="str">
        <f>IFERROR(VLOOKUP(AA339,TD!$N$55:$O$70,2,0)," ")</f>
        <v>Servicio de atención a emergencias y desastres</v>
      </c>
      <c r="AC339" s="168" t="str">
        <f>CONCATENATE(AA339,"_",AB339)</f>
        <v>004_Servicio de atención a emergencias y desastres</v>
      </c>
      <c r="AD339" s="168" t="str">
        <f>CONCATENATE(Z339," ",AC339)</f>
        <v>04-Servicio de atención a incidentes y emergencias. 004_Servicio de atención a emergencias y desastres</v>
      </c>
      <c r="AE339" s="167" t="str">
        <f>CONCATENATE(U339,V339,W339,X339,AA339)</f>
        <v>O23011745032024025504004</v>
      </c>
      <c r="AF339" s="167" t="str">
        <f>IFERROR(VLOOKUP(AD339,TD!$J$70:$K$93,2,0)," ")</f>
        <v>PM/0131/0104/45030040255</v>
      </c>
      <c r="AG339" s="114" t="s">
        <v>385</v>
      </c>
      <c r="AH339" s="166" t="s">
        <v>193</v>
      </c>
      <c r="AI339" s="169" t="str">
        <f>CONCATENATE(PAA[[#This Row],[Id Interno]],"-",PAA[[#This Row],[tipo de Contrato (TH talento humano - B/S bienes y/o servicios)]],"-",S339,"-",T339,"-",PAA[[#This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340" spans="2:35" s="56" customFormat="1" ht="70" x14ac:dyDescent="0.35">
      <c r="B340" s="23">
        <v>20260304</v>
      </c>
      <c r="C340" s="97" t="s">
        <v>826</v>
      </c>
      <c r="D340" s="97" t="s">
        <v>105</v>
      </c>
      <c r="E340" s="97" t="s">
        <v>363</v>
      </c>
      <c r="F340" s="164" t="s">
        <v>144</v>
      </c>
      <c r="G340" s="164" t="s">
        <v>373</v>
      </c>
      <c r="H340" s="170">
        <v>8</v>
      </c>
      <c r="I340" s="170">
        <v>0</v>
      </c>
      <c r="J340" s="114">
        <v>44800000</v>
      </c>
      <c r="K340" s="121" t="s">
        <v>398</v>
      </c>
      <c r="L340" s="164" t="s">
        <v>158</v>
      </c>
      <c r="M340" s="171" t="s">
        <v>421</v>
      </c>
      <c r="N340" s="97" t="s">
        <v>198</v>
      </c>
      <c r="O340" s="144" t="s">
        <v>887</v>
      </c>
      <c r="P340" s="164" t="s">
        <v>348</v>
      </c>
      <c r="Q340" s="123">
        <v>80111600</v>
      </c>
      <c r="R340" s="171" t="s">
        <v>211</v>
      </c>
      <c r="S340" s="166" t="str">
        <f>MID(PAA[[#This Row],[Meta Proyecto de Inversión]],1,4)</f>
        <v>8173</v>
      </c>
      <c r="T340" s="166" t="str">
        <f>MID(PAA[[#This Row],[Meta Proyecto de Inversión]],6,2)</f>
        <v>2-</v>
      </c>
      <c r="U340" s="167" t="str">
        <f>IFERROR(VLOOKUP(N340,TD!$B$54:$F$58,2,0)," ")</f>
        <v>O230117</v>
      </c>
      <c r="V340" s="167" t="str">
        <f>IFERROR(VLOOKUP(N340,TD!$B$54:$F$58,3,0)," ")</f>
        <v>4503</v>
      </c>
      <c r="W340" s="167">
        <f>IFERROR(VLOOKUP(N340,TD!$B$54:$F$58,4,0)," ")</f>
        <v>20240255</v>
      </c>
      <c r="X340" s="166" t="s">
        <v>164</v>
      </c>
      <c r="Y340" s="167" t="str">
        <f>IFERROR(VLOOKUP(X340,TD!$J$55:$K$68,2,0)," ")</f>
        <v>Servicio de atención a incidentes y emergencias.</v>
      </c>
      <c r="Z340" s="168" t="str">
        <f>CONCATENATE(X340,"-",Y340)</f>
        <v>04-Servicio de atención a incidentes y emergencias.</v>
      </c>
      <c r="AA340" s="166" t="s">
        <v>221</v>
      </c>
      <c r="AB340" s="167" t="str">
        <f>IFERROR(VLOOKUP(AA340,TD!$N$55:$O$70,2,0)," ")</f>
        <v>Servicio de atención a emergencias y desastres</v>
      </c>
      <c r="AC340" s="168" t="str">
        <f>CONCATENATE(AA340,"_",AB340)</f>
        <v>004_Servicio de atención a emergencias y desastres</v>
      </c>
      <c r="AD340" s="168" t="str">
        <f>CONCATENATE(Z340," ",AC340)</f>
        <v>04-Servicio de atención a incidentes y emergencias. 004_Servicio de atención a emergencias y desastres</v>
      </c>
      <c r="AE340" s="167" t="str">
        <f>CONCATENATE(U340,V340,W340,X340,AA340)</f>
        <v>O23011745032024025504004</v>
      </c>
      <c r="AF340" s="167" t="str">
        <f>IFERROR(VLOOKUP(AD340,TD!$J$70:$K$93,2,0)," ")</f>
        <v>PM/0131/0104/45030040255</v>
      </c>
      <c r="AG340" s="114" t="s">
        <v>385</v>
      </c>
      <c r="AH340" s="166" t="s">
        <v>193</v>
      </c>
      <c r="AI340" s="169" t="str">
        <f>CONCATENATE(PAA[[#This Row],[Id Interno]],"-",PAA[[#This Row],[tipo de Contrato (TH talento humano - B/S bienes y/o servicios)]],"-",S340,"-",T340,"-",PAA[[#This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41" spans="2:35" s="56" customFormat="1" ht="56" x14ac:dyDescent="0.35">
      <c r="B341" s="23">
        <v>20260305</v>
      </c>
      <c r="C341" s="97" t="s">
        <v>827</v>
      </c>
      <c r="D341" s="97" t="s">
        <v>105</v>
      </c>
      <c r="E341" s="97" t="s">
        <v>363</v>
      </c>
      <c r="F341" s="164" t="s">
        <v>144</v>
      </c>
      <c r="G341" s="164" t="s">
        <v>373</v>
      </c>
      <c r="H341" s="170">
        <v>9</v>
      </c>
      <c r="I341" s="170">
        <v>0</v>
      </c>
      <c r="J341" s="114">
        <v>29700000</v>
      </c>
      <c r="K341" s="121" t="s">
        <v>398</v>
      </c>
      <c r="L341" s="164" t="s">
        <v>158</v>
      </c>
      <c r="M341" s="171" t="s">
        <v>421</v>
      </c>
      <c r="N341" s="97" t="s">
        <v>198</v>
      </c>
      <c r="O341" s="144" t="s">
        <v>887</v>
      </c>
      <c r="P341" s="164" t="s">
        <v>348</v>
      </c>
      <c r="Q341" s="123">
        <v>80111600</v>
      </c>
      <c r="R341" s="171" t="s">
        <v>211</v>
      </c>
      <c r="S341" s="166" t="str">
        <f>MID(PAA[[#This Row],[Meta Proyecto de Inversión]],1,4)</f>
        <v>8173</v>
      </c>
      <c r="T341" s="166" t="str">
        <f>MID(PAA[[#This Row],[Meta Proyecto de Inversión]],6,2)</f>
        <v>2-</v>
      </c>
      <c r="U341" s="167" t="str">
        <f>IFERROR(VLOOKUP(N341,TD!$B$54:$F$58,2,0)," ")</f>
        <v>O230117</v>
      </c>
      <c r="V341" s="167" t="str">
        <f>IFERROR(VLOOKUP(N341,TD!$B$54:$F$58,3,0)," ")</f>
        <v>4503</v>
      </c>
      <c r="W341" s="167">
        <f>IFERROR(VLOOKUP(N341,TD!$B$54:$F$58,4,0)," ")</f>
        <v>20240255</v>
      </c>
      <c r="X341" s="166" t="s">
        <v>164</v>
      </c>
      <c r="Y341" s="167" t="str">
        <f>IFERROR(VLOOKUP(X341,TD!$J$55:$K$68,2,0)," ")</f>
        <v>Servicio de atención a incidentes y emergencias.</v>
      </c>
      <c r="Z341" s="168" t="str">
        <f>CONCATENATE(X341,"-",Y341)</f>
        <v>04-Servicio de atención a incidentes y emergencias.</v>
      </c>
      <c r="AA341" s="166" t="s">
        <v>221</v>
      </c>
      <c r="AB341" s="167" t="str">
        <f>IFERROR(VLOOKUP(AA341,TD!$N$55:$O$70,2,0)," ")</f>
        <v>Servicio de atención a emergencias y desastres</v>
      </c>
      <c r="AC341" s="168" t="str">
        <f>CONCATENATE(AA341,"_",AB341)</f>
        <v>004_Servicio de atención a emergencias y desastres</v>
      </c>
      <c r="AD341" s="168" t="str">
        <f>CONCATENATE(Z341," ",AC341)</f>
        <v>04-Servicio de atención a incidentes y emergencias. 004_Servicio de atención a emergencias y desastres</v>
      </c>
      <c r="AE341" s="167" t="str">
        <f>CONCATENATE(U341,V341,W341,X341,AA341)</f>
        <v>O23011745032024025504004</v>
      </c>
      <c r="AF341" s="167" t="str">
        <f>IFERROR(VLOOKUP(AD341,TD!$J$70:$K$93,2,0)," ")</f>
        <v>PM/0131/0104/45030040255</v>
      </c>
      <c r="AG341" s="114" t="s">
        <v>385</v>
      </c>
      <c r="AH341" s="166" t="s">
        <v>193</v>
      </c>
      <c r="AI341" s="169" t="str">
        <f>CONCATENATE(PAA[[#This Row],[Id Interno]],"-",PAA[[#This Row],[tipo de Contrato (TH talento humano - B/S bienes y/o servicios)]],"-",S341,"-",T341,"-",PAA[[#This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42" spans="2:35" ht="56" x14ac:dyDescent="0.35">
      <c r="B342" s="23">
        <v>20260306</v>
      </c>
      <c r="C342" s="97" t="s">
        <v>828</v>
      </c>
      <c r="D342" s="97" t="s">
        <v>105</v>
      </c>
      <c r="E342" s="97" t="s">
        <v>363</v>
      </c>
      <c r="F342" s="164" t="s">
        <v>144</v>
      </c>
      <c r="G342" s="164" t="s">
        <v>373</v>
      </c>
      <c r="H342" s="170">
        <v>10</v>
      </c>
      <c r="I342" s="170">
        <v>0</v>
      </c>
      <c r="J342" s="114">
        <v>67000000</v>
      </c>
      <c r="K342" s="121" t="s">
        <v>398</v>
      </c>
      <c r="L342" s="164" t="s">
        <v>158</v>
      </c>
      <c r="M342" s="171" t="s">
        <v>421</v>
      </c>
      <c r="N342" s="97" t="s">
        <v>198</v>
      </c>
      <c r="O342" s="144" t="s">
        <v>887</v>
      </c>
      <c r="P342" s="164" t="s">
        <v>348</v>
      </c>
      <c r="Q342" s="123">
        <v>80111600</v>
      </c>
      <c r="R342" s="171" t="s">
        <v>211</v>
      </c>
      <c r="S342" s="166" t="str">
        <f>MID(PAA[[#This Row],[Meta Proyecto de Inversión]],1,4)</f>
        <v>8173</v>
      </c>
      <c r="T342" s="166" t="str">
        <f>MID(PAA[[#This Row],[Meta Proyecto de Inversión]],6,2)</f>
        <v>2-</v>
      </c>
      <c r="U342" s="167" t="str">
        <f>IFERROR(VLOOKUP(N342,TD!$B$54:$F$58,2,0)," ")</f>
        <v>O230117</v>
      </c>
      <c r="V342" s="167" t="str">
        <f>IFERROR(VLOOKUP(N342,TD!$B$54:$F$58,3,0)," ")</f>
        <v>4503</v>
      </c>
      <c r="W342" s="167">
        <f>IFERROR(VLOOKUP(N342,TD!$B$54:$F$58,4,0)," ")</f>
        <v>20240255</v>
      </c>
      <c r="X342" s="166" t="s">
        <v>164</v>
      </c>
      <c r="Y342" s="167" t="str">
        <f>IFERROR(VLOOKUP(X342,TD!$J$55:$K$68,2,0)," ")</f>
        <v>Servicio de atención a incidentes y emergencias.</v>
      </c>
      <c r="Z342" s="168" t="str">
        <f>CONCATENATE(X342,"-",Y342)</f>
        <v>04-Servicio de atención a incidentes y emergencias.</v>
      </c>
      <c r="AA342" s="166" t="s">
        <v>221</v>
      </c>
      <c r="AB342" s="167" t="str">
        <f>IFERROR(VLOOKUP(AA342,TD!$N$55:$O$70,2,0)," ")</f>
        <v>Servicio de atención a emergencias y desastres</v>
      </c>
      <c r="AC342" s="168" t="str">
        <f>CONCATENATE(AA342,"_",AB342)</f>
        <v>004_Servicio de atención a emergencias y desastres</v>
      </c>
      <c r="AD342" s="168" t="str">
        <f>CONCATENATE(Z342," ",AC342)</f>
        <v>04-Servicio de atención a incidentes y emergencias. 004_Servicio de atención a emergencias y desastres</v>
      </c>
      <c r="AE342" s="167" t="str">
        <f>CONCATENATE(U342,V342,W342,X342,AA342)</f>
        <v>O23011745032024025504004</v>
      </c>
      <c r="AF342" s="167" t="str">
        <f>IFERROR(VLOOKUP(AD342,TD!$J$70:$K$93,2,0)," ")</f>
        <v>PM/0131/0104/45030040255</v>
      </c>
      <c r="AG342" s="114" t="s">
        <v>385</v>
      </c>
      <c r="AH342" s="166" t="s">
        <v>193</v>
      </c>
      <c r="AI342" s="169" t="str">
        <f>CONCATENATE(PAA[[#This Row],[Id Interno]],"-",PAA[[#This Row],[tipo de Contrato (TH talento humano - B/S bienes y/o servicios)]],"-",S342,"-",T342,"-",PAA[[#This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43" spans="2:35" s="56" customFormat="1" ht="56" x14ac:dyDescent="0.35">
      <c r="B343" s="97">
        <v>20260307</v>
      </c>
      <c r="C343" s="97" t="s">
        <v>829</v>
      </c>
      <c r="D343" s="97" t="s">
        <v>105</v>
      </c>
      <c r="E343" s="97" t="s">
        <v>363</v>
      </c>
      <c r="F343" s="164" t="s">
        <v>144</v>
      </c>
      <c r="G343" s="164" t="s">
        <v>373</v>
      </c>
      <c r="H343" s="170">
        <v>10</v>
      </c>
      <c r="I343" s="170">
        <v>0</v>
      </c>
      <c r="J343" s="114">
        <v>66600000</v>
      </c>
      <c r="K343" s="121" t="s">
        <v>398</v>
      </c>
      <c r="L343" s="164" t="s">
        <v>158</v>
      </c>
      <c r="M343" s="171" t="s">
        <v>421</v>
      </c>
      <c r="N343" s="97" t="s">
        <v>198</v>
      </c>
      <c r="O343" s="144" t="s">
        <v>887</v>
      </c>
      <c r="P343" s="164" t="s">
        <v>348</v>
      </c>
      <c r="Q343" s="123">
        <v>80111600</v>
      </c>
      <c r="R343" s="171" t="s">
        <v>211</v>
      </c>
      <c r="S343" s="166" t="str">
        <f>MID(PAA[[#This Row],[Meta Proyecto de Inversión]],1,4)</f>
        <v>8173</v>
      </c>
      <c r="T343" s="166" t="str">
        <f>MID(PAA[[#This Row],[Meta Proyecto de Inversión]],6,2)</f>
        <v>2-</v>
      </c>
      <c r="U343" s="167" t="str">
        <f>IFERROR(VLOOKUP(N343,TD!$B$54:$F$58,2,0)," ")</f>
        <v>O230117</v>
      </c>
      <c r="V343" s="167" t="str">
        <f>IFERROR(VLOOKUP(N343,TD!$B$54:$F$58,3,0)," ")</f>
        <v>4503</v>
      </c>
      <c r="W343" s="167">
        <f>IFERROR(VLOOKUP(N343,TD!$B$54:$F$58,4,0)," ")</f>
        <v>20240255</v>
      </c>
      <c r="X343" s="166" t="s">
        <v>164</v>
      </c>
      <c r="Y343" s="167" t="str">
        <f>IFERROR(VLOOKUP(X343,TD!$J$55:$K$68,2,0)," ")</f>
        <v>Servicio de atención a incidentes y emergencias.</v>
      </c>
      <c r="Z343" s="168" t="str">
        <f>CONCATENATE(X343,"-",Y343)</f>
        <v>04-Servicio de atención a incidentes y emergencias.</v>
      </c>
      <c r="AA343" s="166" t="s">
        <v>221</v>
      </c>
      <c r="AB343" s="167" t="str">
        <f>IFERROR(VLOOKUP(AA343,TD!$N$55:$O$70,2,0)," ")</f>
        <v>Servicio de atención a emergencias y desastres</v>
      </c>
      <c r="AC343" s="168" t="str">
        <f>CONCATENATE(AA343,"_",AB343)</f>
        <v>004_Servicio de atención a emergencias y desastres</v>
      </c>
      <c r="AD343" s="168" t="str">
        <f>CONCATENATE(Z343," ",AC343)</f>
        <v>04-Servicio de atención a incidentes y emergencias. 004_Servicio de atención a emergencias y desastres</v>
      </c>
      <c r="AE343" s="167" t="str">
        <f>CONCATENATE(U343,V343,W343,X343,AA343)</f>
        <v>O23011745032024025504004</v>
      </c>
      <c r="AF343" s="167" t="str">
        <f>IFERROR(VLOOKUP(AD343,TD!$J$70:$K$93,2,0)," ")</f>
        <v>PM/0131/0104/45030040255</v>
      </c>
      <c r="AG343" s="114" t="s">
        <v>385</v>
      </c>
      <c r="AH343" s="166" t="s">
        <v>193</v>
      </c>
      <c r="AI343" s="169" t="str">
        <f>CONCATENATE(PAA[[#This Row],[Id Interno]],"-",PAA[[#This Row],[tipo de Contrato (TH talento humano - B/S bienes y/o servicios)]],"-",S343,"-",T343,"-",PAA[[#This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44" spans="2:35" s="56" customFormat="1" ht="70" x14ac:dyDescent="0.35">
      <c r="B344" s="23">
        <v>20260308</v>
      </c>
      <c r="C344" s="97" t="s">
        <v>475</v>
      </c>
      <c r="D344" s="97" t="s">
        <v>105</v>
      </c>
      <c r="E344" s="97" t="s">
        <v>363</v>
      </c>
      <c r="F344" s="164" t="s">
        <v>144</v>
      </c>
      <c r="G344" s="164" t="s">
        <v>373</v>
      </c>
      <c r="H344" s="170">
        <v>4</v>
      </c>
      <c r="I344" s="170">
        <v>15</v>
      </c>
      <c r="J344" s="114">
        <v>29250000</v>
      </c>
      <c r="K344" s="121" t="s">
        <v>398</v>
      </c>
      <c r="L344" s="164" t="s">
        <v>158</v>
      </c>
      <c r="M344" s="171" t="s">
        <v>421</v>
      </c>
      <c r="N344" s="97" t="s">
        <v>198</v>
      </c>
      <c r="O344" s="144" t="s">
        <v>887</v>
      </c>
      <c r="P344" s="164" t="s">
        <v>348</v>
      </c>
      <c r="Q344" s="123">
        <v>80111600</v>
      </c>
      <c r="R344" s="171" t="s">
        <v>211</v>
      </c>
      <c r="S344" s="166" t="str">
        <f>MID(PAA[[#This Row],[Meta Proyecto de Inversión]],1,4)</f>
        <v>8173</v>
      </c>
      <c r="T344" s="166" t="str">
        <f>MID(PAA[[#This Row],[Meta Proyecto de Inversión]],6,2)</f>
        <v>2-</v>
      </c>
      <c r="U344" s="167" t="str">
        <f>IFERROR(VLOOKUP(N344,TD!$B$54:$F$58,2,0)," ")</f>
        <v>O230117</v>
      </c>
      <c r="V344" s="167" t="str">
        <f>IFERROR(VLOOKUP(N344,TD!$B$54:$F$58,3,0)," ")</f>
        <v>4503</v>
      </c>
      <c r="W344" s="167">
        <f>IFERROR(VLOOKUP(N344,TD!$B$54:$F$58,4,0)," ")</f>
        <v>20240255</v>
      </c>
      <c r="X344" s="166" t="s">
        <v>164</v>
      </c>
      <c r="Y344" s="167" t="str">
        <f>IFERROR(VLOOKUP(X344,TD!$J$55:$K$68,2,0)," ")</f>
        <v>Servicio de atención a incidentes y emergencias.</v>
      </c>
      <c r="Z344" s="168" t="str">
        <f>CONCATENATE(X344,"-",Y344)</f>
        <v>04-Servicio de atención a incidentes y emergencias.</v>
      </c>
      <c r="AA344" s="166" t="s">
        <v>221</v>
      </c>
      <c r="AB344" s="167" t="str">
        <f>IFERROR(VLOOKUP(AA344,TD!$N$55:$O$70,2,0)," ")</f>
        <v>Servicio de atención a emergencias y desastres</v>
      </c>
      <c r="AC344" s="168" t="str">
        <f>CONCATENATE(AA344,"_",AB344)</f>
        <v>004_Servicio de atención a emergencias y desastres</v>
      </c>
      <c r="AD344" s="168" t="str">
        <f>CONCATENATE(Z344," ",AC344)</f>
        <v>04-Servicio de atención a incidentes y emergencias. 004_Servicio de atención a emergencias y desastres</v>
      </c>
      <c r="AE344" s="167" t="str">
        <f>CONCATENATE(U344,V344,W344,X344,AA344)</f>
        <v>O23011745032024025504004</v>
      </c>
      <c r="AF344" s="167" t="str">
        <f>IFERROR(VLOOKUP(AD344,TD!$J$70:$K$93,2,0)," ")</f>
        <v>PM/0131/0104/45030040255</v>
      </c>
      <c r="AG344" s="114" t="s">
        <v>385</v>
      </c>
      <c r="AH344" s="166" t="s">
        <v>194</v>
      </c>
      <c r="AI344" s="169" t="str">
        <f>CONCATENATE(PAA[[#This Row],[Id Interno]],"-",PAA[[#This Row],[tipo de Contrato (TH talento humano - B/S bienes y/o servicios)]],"-",S344,"-",T344,"-",PAA[[#This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45" spans="2:35" s="56" customFormat="1" ht="112" x14ac:dyDescent="0.35">
      <c r="B345" s="23">
        <v>20260309</v>
      </c>
      <c r="C345" s="97" t="s">
        <v>476</v>
      </c>
      <c r="D345" s="97" t="s">
        <v>105</v>
      </c>
      <c r="E345" s="97" t="s">
        <v>363</v>
      </c>
      <c r="F345" s="164" t="s">
        <v>144</v>
      </c>
      <c r="G345" s="164" t="s">
        <v>373</v>
      </c>
      <c r="H345" s="170">
        <v>4</v>
      </c>
      <c r="I345" s="170">
        <v>15</v>
      </c>
      <c r="J345" s="114">
        <v>31500000</v>
      </c>
      <c r="K345" s="121" t="s">
        <v>398</v>
      </c>
      <c r="L345" s="164" t="s">
        <v>158</v>
      </c>
      <c r="M345" s="171" t="s">
        <v>421</v>
      </c>
      <c r="N345" s="97" t="s">
        <v>198</v>
      </c>
      <c r="O345" s="144" t="s">
        <v>887</v>
      </c>
      <c r="P345" s="164" t="s">
        <v>348</v>
      </c>
      <c r="Q345" s="123">
        <v>80111600</v>
      </c>
      <c r="R345" s="171" t="s">
        <v>211</v>
      </c>
      <c r="S345" s="166" t="str">
        <f>MID(PAA[[#This Row],[Meta Proyecto de Inversión]],1,4)</f>
        <v>8173</v>
      </c>
      <c r="T345" s="166" t="str">
        <f>MID(PAA[[#This Row],[Meta Proyecto de Inversión]],6,2)</f>
        <v>2-</v>
      </c>
      <c r="U345" s="167" t="str">
        <f>IFERROR(VLOOKUP(N345,TD!$B$54:$F$58,2,0)," ")</f>
        <v>O230117</v>
      </c>
      <c r="V345" s="167" t="str">
        <f>IFERROR(VLOOKUP(N345,TD!$B$54:$F$58,3,0)," ")</f>
        <v>4503</v>
      </c>
      <c r="W345" s="167">
        <f>IFERROR(VLOOKUP(N345,TD!$B$54:$F$58,4,0)," ")</f>
        <v>20240255</v>
      </c>
      <c r="X345" s="166" t="s">
        <v>164</v>
      </c>
      <c r="Y345" s="167" t="str">
        <f>IFERROR(VLOOKUP(X345,TD!$J$55:$K$68,2,0)," ")</f>
        <v>Servicio de atención a incidentes y emergencias.</v>
      </c>
      <c r="Z345" s="168" t="str">
        <f>CONCATENATE(X345,"-",Y345)</f>
        <v>04-Servicio de atención a incidentes y emergencias.</v>
      </c>
      <c r="AA345" s="166" t="s">
        <v>221</v>
      </c>
      <c r="AB345" s="167" t="str">
        <f>IFERROR(VLOOKUP(AA345,TD!$N$55:$O$70,2,0)," ")</f>
        <v>Servicio de atención a emergencias y desastres</v>
      </c>
      <c r="AC345" s="168" t="str">
        <f>CONCATENATE(AA345,"_",AB345)</f>
        <v>004_Servicio de atención a emergencias y desastres</v>
      </c>
      <c r="AD345" s="168" t="str">
        <f>CONCATENATE(Z345," ",AC345)</f>
        <v>04-Servicio de atención a incidentes y emergencias. 004_Servicio de atención a emergencias y desastres</v>
      </c>
      <c r="AE345" s="167" t="str">
        <f>CONCATENATE(U345,V345,W345,X345,AA345)</f>
        <v>O23011745032024025504004</v>
      </c>
      <c r="AF345" s="167" t="str">
        <f>IFERROR(VLOOKUP(AD345,TD!$J$70:$K$93,2,0)," ")</f>
        <v>PM/0131/0104/45030040255</v>
      </c>
      <c r="AG345" s="114" t="s">
        <v>385</v>
      </c>
      <c r="AH345" s="166" t="s">
        <v>194</v>
      </c>
      <c r="AI345" s="169" t="str">
        <f>CONCATENATE(PAA[[#This Row],[Id Interno]],"-",PAA[[#This Row],[tipo de Contrato (TH talento humano - B/S bienes y/o servicios)]],"-",S345,"-",T345,"-",PAA[[#This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46" spans="2:35" s="56" customFormat="1" ht="98" x14ac:dyDescent="0.35">
      <c r="B346" s="23">
        <v>20260310</v>
      </c>
      <c r="C346" s="97" t="s">
        <v>830</v>
      </c>
      <c r="D346" s="97" t="s">
        <v>105</v>
      </c>
      <c r="E346" s="97" t="s">
        <v>363</v>
      </c>
      <c r="F346" s="164" t="s">
        <v>144</v>
      </c>
      <c r="G346" s="164" t="s">
        <v>373</v>
      </c>
      <c r="H346" s="170">
        <v>8</v>
      </c>
      <c r="I346" s="170">
        <v>0</v>
      </c>
      <c r="J346" s="114">
        <v>57600000</v>
      </c>
      <c r="K346" s="121" t="s">
        <v>398</v>
      </c>
      <c r="L346" s="164" t="s">
        <v>158</v>
      </c>
      <c r="M346" s="171" t="s">
        <v>421</v>
      </c>
      <c r="N346" s="97" t="s">
        <v>198</v>
      </c>
      <c r="O346" s="144" t="s">
        <v>887</v>
      </c>
      <c r="P346" s="164" t="s">
        <v>348</v>
      </c>
      <c r="Q346" s="123">
        <v>80111600</v>
      </c>
      <c r="R346" s="171" t="s">
        <v>211</v>
      </c>
      <c r="S346" s="166" t="str">
        <f>MID(PAA[[#This Row],[Meta Proyecto de Inversión]],1,4)</f>
        <v>8173</v>
      </c>
      <c r="T346" s="166" t="str">
        <f>MID(PAA[[#This Row],[Meta Proyecto de Inversión]],6,2)</f>
        <v>2-</v>
      </c>
      <c r="U346" s="167" t="str">
        <f>IFERROR(VLOOKUP(N346,TD!$B$54:$F$58,2,0)," ")</f>
        <v>O230117</v>
      </c>
      <c r="V346" s="167" t="str">
        <f>IFERROR(VLOOKUP(N346,TD!$B$54:$F$58,3,0)," ")</f>
        <v>4503</v>
      </c>
      <c r="W346" s="167">
        <f>IFERROR(VLOOKUP(N346,TD!$B$54:$F$58,4,0)," ")</f>
        <v>20240255</v>
      </c>
      <c r="X346" s="166" t="s">
        <v>164</v>
      </c>
      <c r="Y346" s="167" t="str">
        <f>IFERROR(VLOOKUP(X346,TD!$J$55:$K$68,2,0)," ")</f>
        <v>Servicio de atención a incidentes y emergencias.</v>
      </c>
      <c r="Z346" s="168" t="str">
        <f>CONCATENATE(X346,"-",Y346)</f>
        <v>04-Servicio de atención a incidentes y emergencias.</v>
      </c>
      <c r="AA346" s="166" t="s">
        <v>221</v>
      </c>
      <c r="AB346" s="167" t="str">
        <f>IFERROR(VLOOKUP(AA346,TD!$N$55:$O$70,2,0)," ")</f>
        <v>Servicio de atención a emergencias y desastres</v>
      </c>
      <c r="AC346" s="168" t="str">
        <f>CONCATENATE(AA346,"_",AB346)</f>
        <v>004_Servicio de atención a emergencias y desastres</v>
      </c>
      <c r="AD346" s="168" t="str">
        <f>CONCATENATE(Z346," ",AC346)</f>
        <v>04-Servicio de atención a incidentes y emergencias. 004_Servicio de atención a emergencias y desastres</v>
      </c>
      <c r="AE346" s="167" t="str">
        <f>CONCATENATE(U346,V346,W346,X346,AA346)</f>
        <v>O23011745032024025504004</v>
      </c>
      <c r="AF346" s="167" t="str">
        <f>IFERROR(VLOOKUP(AD346,TD!$J$70:$K$93,2,0)," ")</f>
        <v>PM/0131/0104/45030040255</v>
      </c>
      <c r="AG346" s="114" t="s">
        <v>385</v>
      </c>
      <c r="AH346" s="166" t="s">
        <v>193</v>
      </c>
      <c r="AI346" s="169" t="str">
        <f>CONCATENATE(PAA[[#This Row],[Id Interno]],"-",PAA[[#This Row],[tipo de Contrato (TH talento humano - B/S bienes y/o servicios)]],"-",S346,"-",T346,"-",PAA[[#This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47" spans="2:35" s="56" customFormat="1" ht="70" x14ac:dyDescent="0.35">
      <c r="B347" s="23">
        <v>20260311</v>
      </c>
      <c r="C347" s="97" t="s">
        <v>477</v>
      </c>
      <c r="D347" s="97" t="s">
        <v>105</v>
      </c>
      <c r="E347" s="97" t="s">
        <v>363</v>
      </c>
      <c r="F347" s="164" t="s">
        <v>144</v>
      </c>
      <c r="G347" s="164" t="s">
        <v>373</v>
      </c>
      <c r="H347" s="170">
        <v>4</v>
      </c>
      <c r="I347" s="170">
        <v>15</v>
      </c>
      <c r="J347" s="114">
        <v>31500000</v>
      </c>
      <c r="K347" s="121" t="s">
        <v>398</v>
      </c>
      <c r="L347" s="164" t="s">
        <v>158</v>
      </c>
      <c r="M347" s="171" t="s">
        <v>421</v>
      </c>
      <c r="N347" s="97" t="s">
        <v>198</v>
      </c>
      <c r="O347" s="144" t="s">
        <v>887</v>
      </c>
      <c r="P347" s="164" t="s">
        <v>348</v>
      </c>
      <c r="Q347" s="123">
        <v>80111600</v>
      </c>
      <c r="R347" s="171" t="s">
        <v>211</v>
      </c>
      <c r="S347" s="166" t="str">
        <f>MID(PAA[[#This Row],[Meta Proyecto de Inversión]],1,4)</f>
        <v>8173</v>
      </c>
      <c r="T347" s="166" t="str">
        <f>MID(PAA[[#This Row],[Meta Proyecto de Inversión]],6,2)</f>
        <v>2-</v>
      </c>
      <c r="U347" s="167" t="str">
        <f>IFERROR(VLOOKUP(N347,TD!$B$54:$F$58,2,0)," ")</f>
        <v>O230117</v>
      </c>
      <c r="V347" s="167" t="str">
        <f>IFERROR(VLOOKUP(N347,TD!$B$54:$F$58,3,0)," ")</f>
        <v>4503</v>
      </c>
      <c r="W347" s="167">
        <f>IFERROR(VLOOKUP(N347,TD!$B$54:$F$58,4,0)," ")</f>
        <v>20240255</v>
      </c>
      <c r="X347" s="166" t="s">
        <v>164</v>
      </c>
      <c r="Y347" s="167" t="str">
        <f>IFERROR(VLOOKUP(X347,TD!$J$55:$K$68,2,0)," ")</f>
        <v>Servicio de atención a incidentes y emergencias.</v>
      </c>
      <c r="Z347" s="168" t="str">
        <f>CONCATENATE(X347,"-",Y347)</f>
        <v>04-Servicio de atención a incidentes y emergencias.</v>
      </c>
      <c r="AA347" s="166" t="s">
        <v>221</v>
      </c>
      <c r="AB347" s="167" t="str">
        <f>IFERROR(VLOOKUP(AA347,TD!$N$55:$O$70,2,0)," ")</f>
        <v>Servicio de atención a emergencias y desastres</v>
      </c>
      <c r="AC347" s="168" t="str">
        <f>CONCATENATE(AA347,"_",AB347)</f>
        <v>004_Servicio de atención a emergencias y desastres</v>
      </c>
      <c r="AD347" s="168" t="str">
        <f>CONCATENATE(Z347," ",AC347)</f>
        <v>04-Servicio de atención a incidentes y emergencias. 004_Servicio de atención a emergencias y desastres</v>
      </c>
      <c r="AE347" s="167" t="str">
        <f>CONCATENATE(U347,V347,W347,X347,AA347)</f>
        <v>O23011745032024025504004</v>
      </c>
      <c r="AF347" s="167" t="str">
        <f>IFERROR(VLOOKUP(AD347,TD!$J$70:$K$93,2,0)," ")</f>
        <v>PM/0131/0104/45030040255</v>
      </c>
      <c r="AG347" s="114" t="s">
        <v>385</v>
      </c>
      <c r="AH347" s="166" t="s">
        <v>194</v>
      </c>
      <c r="AI347" s="169" t="str">
        <f>CONCATENATE(PAA[[#This Row],[Id Interno]],"-",PAA[[#This Row],[tipo de Contrato (TH talento humano - B/S bienes y/o servicios)]],"-",S347,"-",T347,"-",PAA[[#This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48" spans="2:35" s="56" customFormat="1" ht="84" x14ac:dyDescent="0.35">
      <c r="B348" s="23">
        <v>20260312</v>
      </c>
      <c r="C348" s="97" t="s">
        <v>478</v>
      </c>
      <c r="D348" s="97" t="s">
        <v>105</v>
      </c>
      <c r="E348" s="97" t="s">
        <v>363</v>
      </c>
      <c r="F348" s="164" t="s">
        <v>144</v>
      </c>
      <c r="G348" s="164" t="s">
        <v>373</v>
      </c>
      <c r="H348" s="170">
        <v>5</v>
      </c>
      <c r="I348" s="170">
        <v>0</v>
      </c>
      <c r="J348" s="114">
        <v>40000000</v>
      </c>
      <c r="K348" s="121" t="s">
        <v>398</v>
      </c>
      <c r="L348" s="164" t="s">
        <v>158</v>
      </c>
      <c r="M348" s="171" t="s">
        <v>421</v>
      </c>
      <c r="N348" s="97" t="s">
        <v>198</v>
      </c>
      <c r="O348" s="144" t="s">
        <v>887</v>
      </c>
      <c r="P348" s="164" t="s">
        <v>348</v>
      </c>
      <c r="Q348" s="123">
        <v>80111600</v>
      </c>
      <c r="R348" s="171" t="s">
        <v>211</v>
      </c>
      <c r="S348" s="166" t="str">
        <f>MID(PAA[[#This Row],[Meta Proyecto de Inversión]],1,4)</f>
        <v>8173</v>
      </c>
      <c r="T348" s="166" t="str">
        <f>MID(PAA[[#This Row],[Meta Proyecto de Inversión]],6,2)</f>
        <v>2-</v>
      </c>
      <c r="U348" s="167" t="str">
        <f>IFERROR(VLOOKUP(N348,TD!$B$54:$F$58,2,0)," ")</f>
        <v>O230117</v>
      </c>
      <c r="V348" s="167" t="str">
        <f>IFERROR(VLOOKUP(N348,TD!$B$54:$F$58,3,0)," ")</f>
        <v>4503</v>
      </c>
      <c r="W348" s="167">
        <f>IFERROR(VLOOKUP(N348,TD!$B$54:$F$58,4,0)," ")</f>
        <v>20240255</v>
      </c>
      <c r="X348" s="166" t="s">
        <v>164</v>
      </c>
      <c r="Y348" s="167" t="str">
        <f>IFERROR(VLOOKUP(X348,TD!$J$55:$K$68,2,0)," ")</f>
        <v>Servicio de atención a incidentes y emergencias.</v>
      </c>
      <c r="Z348" s="168" t="str">
        <f>CONCATENATE(X348,"-",Y348)</f>
        <v>04-Servicio de atención a incidentes y emergencias.</v>
      </c>
      <c r="AA348" s="166" t="s">
        <v>221</v>
      </c>
      <c r="AB348" s="167" t="str">
        <f>IFERROR(VLOOKUP(AA348,TD!$N$55:$O$70,2,0)," ")</f>
        <v>Servicio de atención a emergencias y desastres</v>
      </c>
      <c r="AC348" s="168" t="str">
        <f>CONCATENATE(AA348,"_",AB348)</f>
        <v>004_Servicio de atención a emergencias y desastres</v>
      </c>
      <c r="AD348" s="168" t="str">
        <f>CONCATENATE(Z348," ",AC348)</f>
        <v>04-Servicio de atención a incidentes y emergencias. 004_Servicio de atención a emergencias y desastres</v>
      </c>
      <c r="AE348" s="167" t="str">
        <f>CONCATENATE(U348,V348,W348,X348,AA348)</f>
        <v>O23011745032024025504004</v>
      </c>
      <c r="AF348" s="167" t="str">
        <f>IFERROR(VLOOKUP(AD348,TD!$J$70:$K$93,2,0)," ")</f>
        <v>PM/0131/0104/45030040255</v>
      </c>
      <c r="AG348" s="114" t="s">
        <v>385</v>
      </c>
      <c r="AH348" s="166" t="s">
        <v>194</v>
      </c>
      <c r="AI348" s="169" t="str">
        <f>CONCATENATE(PAA[[#This Row],[Id Interno]],"-",PAA[[#This Row],[tipo de Contrato (TH talento humano - B/S bienes y/o servicios)]],"-",S348,"-",T348,"-",PAA[[#This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49" spans="2:35" s="56" customFormat="1" ht="70" x14ac:dyDescent="0.35">
      <c r="B349" s="23">
        <v>20260313</v>
      </c>
      <c r="C349" s="97" t="s">
        <v>831</v>
      </c>
      <c r="D349" s="97" t="s">
        <v>105</v>
      </c>
      <c r="E349" s="97" t="s">
        <v>363</v>
      </c>
      <c r="F349" s="164" t="s">
        <v>144</v>
      </c>
      <c r="G349" s="164" t="s">
        <v>373</v>
      </c>
      <c r="H349" s="170">
        <v>9</v>
      </c>
      <c r="I349" s="170">
        <v>0</v>
      </c>
      <c r="J349" s="114">
        <v>67500000</v>
      </c>
      <c r="K349" s="121" t="s">
        <v>398</v>
      </c>
      <c r="L349" s="164" t="s">
        <v>158</v>
      </c>
      <c r="M349" s="171" t="s">
        <v>421</v>
      </c>
      <c r="N349" s="97" t="s">
        <v>198</v>
      </c>
      <c r="O349" s="144" t="s">
        <v>887</v>
      </c>
      <c r="P349" s="164" t="s">
        <v>348</v>
      </c>
      <c r="Q349" s="123">
        <v>80111600</v>
      </c>
      <c r="R349" s="171" t="s">
        <v>211</v>
      </c>
      <c r="S349" s="166" t="str">
        <f>MID(PAA[[#This Row],[Meta Proyecto de Inversión]],1,4)</f>
        <v>8173</v>
      </c>
      <c r="T349" s="166" t="str">
        <f>MID(PAA[[#This Row],[Meta Proyecto de Inversión]],6,2)</f>
        <v>2-</v>
      </c>
      <c r="U349" s="167" t="str">
        <f>IFERROR(VLOOKUP(N349,TD!$B$54:$F$58,2,0)," ")</f>
        <v>O230117</v>
      </c>
      <c r="V349" s="167" t="str">
        <f>IFERROR(VLOOKUP(N349,TD!$B$54:$F$58,3,0)," ")</f>
        <v>4503</v>
      </c>
      <c r="W349" s="167">
        <f>IFERROR(VLOOKUP(N349,TD!$B$54:$F$58,4,0)," ")</f>
        <v>20240255</v>
      </c>
      <c r="X349" s="166" t="s">
        <v>164</v>
      </c>
      <c r="Y349" s="167" t="str">
        <f>IFERROR(VLOOKUP(X349,TD!$J$55:$K$68,2,0)," ")</f>
        <v>Servicio de atención a incidentes y emergencias.</v>
      </c>
      <c r="Z349" s="168" t="str">
        <f>CONCATENATE(X349,"-",Y349)</f>
        <v>04-Servicio de atención a incidentes y emergencias.</v>
      </c>
      <c r="AA349" s="166" t="s">
        <v>221</v>
      </c>
      <c r="AB349" s="167" t="str">
        <f>IFERROR(VLOOKUP(AA349,TD!$N$55:$O$70,2,0)," ")</f>
        <v>Servicio de atención a emergencias y desastres</v>
      </c>
      <c r="AC349" s="168" t="str">
        <f>CONCATENATE(AA349,"_",AB349)</f>
        <v>004_Servicio de atención a emergencias y desastres</v>
      </c>
      <c r="AD349" s="168" t="str">
        <f>CONCATENATE(Z349," ",AC349)</f>
        <v>04-Servicio de atención a incidentes y emergencias. 004_Servicio de atención a emergencias y desastres</v>
      </c>
      <c r="AE349" s="167" t="str">
        <f>CONCATENATE(U349,V349,W349,X349,AA349)</f>
        <v>O23011745032024025504004</v>
      </c>
      <c r="AF349" s="167" t="str">
        <f>IFERROR(VLOOKUP(AD349,TD!$J$70:$K$93,2,0)," ")</f>
        <v>PM/0131/0104/45030040255</v>
      </c>
      <c r="AG349" s="114" t="s">
        <v>385</v>
      </c>
      <c r="AH349" s="166" t="s">
        <v>193</v>
      </c>
      <c r="AI349" s="169" t="str">
        <f>CONCATENATE(PAA[[#This Row],[Id Interno]],"-",PAA[[#This Row],[tipo de Contrato (TH talento humano - B/S bienes y/o servicios)]],"-",S349,"-",T349,"-",PAA[[#This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50" spans="2:35" s="56" customFormat="1" ht="70" x14ac:dyDescent="0.35">
      <c r="B350" s="23">
        <v>20260314</v>
      </c>
      <c r="C350" s="97" t="s">
        <v>479</v>
      </c>
      <c r="D350" s="97" t="s">
        <v>105</v>
      </c>
      <c r="E350" s="97" t="s">
        <v>363</v>
      </c>
      <c r="F350" s="164" t="s">
        <v>144</v>
      </c>
      <c r="G350" s="164" t="s">
        <v>373</v>
      </c>
      <c r="H350" s="170">
        <v>5</v>
      </c>
      <c r="I350" s="170">
        <v>0</v>
      </c>
      <c r="J350" s="114">
        <v>47500000</v>
      </c>
      <c r="K350" s="121" t="s">
        <v>398</v>
      </c>
      <c r="L350" s="164" t="s">
        <v>158</v>
      </c>
      <c r="M350" s="171" t="s">
        <v>421</v>
      </c>
      <c r="N350" s="97" t="s">
        <v>198</v>
      </c>
      <c r="O350" s="144" t="s">
        <v>887</v>
      </c>
      <c r="P350" s="164" t="s">
        <v>348</v>
      </c>
      <c r="Q350" s="123">
        <v>80111600</v>
      </c>
      <c r="R350" s="171" t="s">
        <v>211</v>
      </c>
      <c r="S350" s="166" t="str">
        <f>MID(PAA[[#This Row],[Meta Proyecto de Inversión]],1,4)</f>
        <v>8173</v>
      </c>
      <c r="T350" s="166" t="str">
        <f>MID(PAA[[#This Row],[Meta Proyecto de Inversión]],6,2)</f>
        <v>2-</v>
      </c>
      <c r="U350" s="167" t="str">
        <f>IFERROR(VLOOKUP(N350,TD!$B$54:$F$58,2,0)," ")</f>
        <v>O230117</v>
      </c>
      <c r="V350" s="167" t="str">
        <f>IFERROR(VLOOKUP(N350,TD!$B$54:$F$58,3,0)," ")</f>
        <v>4503</v>
      </c>
      <c r="W350" s="167">
        <f>IFERROR(VLOOKUP(N350,TD!$B$54:$F$58,4,0)," ")</f>
        <v>20240255</v>
      </c>
      <c r="X350" s="166" t="s">
        <v>164</v>
      </c>
      <c r="Y350" s="167" t="str">
        <f>IFERROR(VLOOKUP(X350,TD!$J$55:$K$68,2,0)," ")</f>
        <v>Servicio de atención a incidentes y emergencias.</v>
      </c>
      <c r="Z350" s="168" t="str">
        <f>CONCATENATE(X350,"-",Y350)</f>
        <v>04-Servicio de atención a incidentes y emergencias.</v>
      </c>
      <c r="AA350" s="166" t="s">
        <v>221</v>
      </c>
      <c r="AB350" s="167" t="str">
        <f>IFERROR(VLOOKUP(AA350,TD!$N$55:$O$70,2,0)," ")</f>
        <v>Servicio de atención a emergencias y desastres</v>
      </c>
      <c r="AC350" s="168" t="str">
        <f>CONCATENATE(AA350,"_",AB350)</f>
        <v>004_Servicio de atención a emergencias y desastres</v>
      </c>
      <c r="AD350" s="168" t="str">
        <f>CONCATENATE(Z350," ",AC350)</f>
        <v>04-Servicio de atención a incidentes y emergencias. 004_Servicio de atención a emergencias y desastres</v>
      </c>
      <c r="AE350" s="167" t="str">
        <f>CONCATENATE(U350,V350,W350,X350,AA350)</f>
        <v>O23011745032024025504004</v>
      </c>
      <c r="AF350" s="167" t="str">
        <f>IFERROR(VLOOKUP(AD350,TD!$J$70:$K$93,2,0)," ")</f>
        <v>PM/0131/0104/45030040255</v>
      </c>
      <c r="AG350" s="114" t="s">
        <v>385</v>
      </c>
      <c r="AH350" s="166" t="s">
        <v>194</v>
      </c>
      <c r="AI350" s="169" t="str">
        <f>CONCATENATE(PAA[[#This Row],[Id Interno]],"-",PAA[[#This Row],[tipo de Contrato (TH talento humano - B/S bienes y/o servicios)]],"-",S350,"-",T350,"-",PAA[[#This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51" spans="2:35" s="56" customFormat="1" ht="84" x14ac:dyDescent="0.35">
      <c r="B351" s="23">
        <v>20260315</v>
      </c>
      <c r="C351" s="97" t="s">
        <v>480</v>
      </c>
      <c r="D351" s="97" t="s">
        <v>105</v>
      </c>
      <c r="E351" s="97" t="s">
        <v>363</v>
      </c>
      <c r="F351" s="164" t="s">
        <v>144</v>
      </c>
      <c r="G351" s="164" t="s">
        <v>373</v>
      </c>
      <c r="H351" s="170">
        <v>5</v>
      </c>
      <c r="I351" s="170">
        <v>0</v>
      </c>
      <c r="J351" s="114">
        <v>35000000</v>
      </c>
      <c r="K351" s="121" t="s">
        <v>398</v>
      </c>
      <c r="L351" s="164" t="s">
        <v>158</v>
      </c>
      <c r="M351" s="171" t="s">
        <v>421</v>
      </c>
      <c r="N351" s="97" t="s">
        <v>198</v>
      </c>
      <c r="O351" s="144" t="s">
        <v>887</v>
      </c>
      <c r="P351" s="164" t="s">
        <v>348</v>
      </c>
      <c r="Q351" s="123">
        <v>80111600</v>
      </c>
      <c r="R351" s="171" t="s">
        <v>211</v>
      </c>
      <c r="S351" s="166" t="str">
        <f>MID(PAA[[#This Row],[Meta Proyecto de Inversión]],1,4)</f>
        <v>8173</v>
      </c>
      <c r="T351" s="166" t="str">
        <f>MID(PAA[[#This Row],[Meta Proyecto de Inversión]],6,2)</f>
        <v>2-</v>
      </c>
      <c r="U351" s="167" t="str">
        <f>IFERROR(VLOOKUP(N351,TD!$B$54:$F$58,2,0)," ")</f>
        <v>O230117</v>
      </c>
      <c r="V351" s="167" t="str">
        <f>IFERROR(VLOOKUP(N351,TD!$B$54:$F$58,3,0)," ")</f>
        <v>4503</v>
      </c>
      <c r="W351" s="167">
        <f>IFERROR(VLOOKUP(N351,TD!$B$54:$F$58,4,0)," ")</f>
        <v>20240255</v>
      </c>
      <c r="X351" s="166" t="s">
        <v>164</v>
      </c>
      <c r="Y351" s="167" t="str">
        <f>IFERROR(VLOOKUP(X351,TD!$J$55:$K$68,2,0)," ")</f>
        <v>Servicio de atención a incidentes y emergencias.</v>
      </c>
      <c r="Z351" s="168" t="str">
        <f>CONCATENATE(X351,"-",Y351)</f>
        <v>04-Servicio de atención a incidentes y emergencias.</v>
      </c>
      <c r="AA351" s="166" t="s">
        <v>221</v>
      </c>
      <c r="AB351" s="167" t="str">
        <f>IFERROR(VLOOKUP(AA351,TD!$N$55:$O$70,2,0)," ")</f>
        <v>Servicio de atención a emergencias y desastres</v>
      </c>
      <c r="AC351" s="168" t="str">
        <f>CONCATENATE(AA351,"_",AB351)</f>
        <v>004_Servicio de atención a emergencias y desastres</v>
      </c>
      <c r="AD351" s="168" t="str">
        <f>CONCATENATE(Z351," ",AC351)</f>
        <v>04-Servicio de atención a incidentes y emergencias. 004_Servicio de atención a emergencias y desastres</v>
      </c>
      <c r="AE351" s="167" t="str">
        <f>CONCATENATE(U351,V351,W351,X351,AA351)</f>
        <v>O23011745032024025504004</v>
      </c>
      <c r="AF351" s="167" t="str">
        <f>IFERROR(VLOOKUP(AD351,TD!$J$70:$K$93,2,0)," ")</f>
        <v>PM/0131/0104/45030040255</v>
      </c>
      <c r="AG351" s="114" t="s">
        <v>385</v>
      </c>
      <c r="AH351" s="166" t="s">
        <v>194</v>
      </c>
      <c r="AI351" s="169" t="str">
        <f>CONCATENATE(PAA[[#This Row],[Id Interno]],"-",PAA[[#This Row],[tipo de Contrato (TH talento humano - B/S bienes y/o servicios)]],"-",S351,"-",T351,"-",PAA[[#This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52" spans="2:35" s="56" customFormat="1" ht="70" x14ac:dyDescent="0.35">
      <c r="B352" s="97">
        <v>20260316</v>
      </c>
      <c r="C352" s="97" t="s">
        <v>832</v>
      </c>
      <c r="D352" s="97" t="s">
        <v>105</v>
      </c>
      <c r="E352" s="97" t="s">
        <v>363</v>
      </c>
      <c r="F352" s="164" t="s">
        <v>144</v>
      </c>
      <c r="G352" s="164" t="s">
        <v>373</v>
      </c>
      <c r="H352" s="170">
        <v>9</v>
      </c>
      <c r="I352" s="170">
        <v>0</v>
      </c>
      <c r="J352" s="114">
        <v>77400000</v>
      </c>
      <c r="K352" s="121" t="s">
        <v>398</v>
      </c>
      <c r="L352" s="164" t="s">
        <v>158</v>
      </c>
      <c r="M352" s="171" t="s">
        <v>421</v>
      </c>
      <c r="N352" s="97" t="s">
        <v>198</v>
      </c>
      <c r="O352" s="144" t="s">
        <v>887</v>
      </c>
      <c r="P352" s="164" t="s">
        <v>348</v>
      </c>
      <c r="Q352" s="123">
        <v>80111600</v>
      </c>
      <c r="R352" s="171" t="s">
        <v>211</v>
      </c>
      <c r="S352" s="166" t="str">
        <f>MID(PAA[[#This Row],[Meta Proyecto de Inversión]],1,4)</f>
        <v>8173</v>
      </c>
      <c r="T352" s="166" t="str">
        <f>MID(PAA[[#This Row],[Meta Proyecto de Inversión]],6,2)</f>
        <v>2-</v>
      </c>
      <c r="U352" s="167" t="str">
        <f>IFERROR(VLOOKUP(N352,TD!$B$54:$F$58,2,0)," ")</f>
        <v>O230117</v>
      </c>
      <c r="V352" s="167" t="str">
        <f>IFERROR(VLOOKUP(N352,TD!$B$54:$F$58,3,0)," ")</f>
        <v>4503</v>
      </c>
      <c r="W352" s="167">
        <f>IFERROR(VLOOKUP(N352,TD!$B$54:$F$58,4,0)," ")</f>
        <v>20240255</v>
      </c>
      <c r="X352" s="166" t="s">
        <v>164</v>
      </c>
      <c r="Y352" s="167" t="str">
        <f>IFERROR(VLOOKUP(X352,TD!$J$55:$K$68,2,0)," ")</f>
        <v>Servicio de atención a incidentes y emergencias.</v>
      </c>
      <c r="Z352" s="168" t="str">
        <f>CONCATENATE(X352,"-",Y352)</f>
        <v>04-Servicio de atención a incidentes y emergencias.</v>
      </c>
      <c r="AA352" s="166" t="s">
        <v>221</v>
      </c>
      <c r="AB352" s="167" t="str">
        <f>IFERROR(VLOOKUP(AA352,TD!$N$55:$O$70,2,0)," ")</f>
        <v>Servicio de atención a emergencias y desastres</v>
      </c>
      <c r="AC352" s="168" t="str">
        <f>CONCATENATE(AA352,"_",AB352)</f>
        <v>004_Servicio de atención a emergencias y desastres</v>
      </c>
      <c r="AD352" s="168" t="str">
        <f>CONCATENATE(Z352," ",AC352)</f>
        <v>04-Servicio de atención a incidentes y emergencias. 004_Servicio de atención a emergencias y desastres</v>
      </c>
      <c r="AE352" s="167" t="str">
        <f>CONCATENATE(U352,V352,W352,X352,AA352)</f>
        <v>O23011745032024025504004</v>
      </c>
      <c r="AF352" s="167" t="str">
        <f>IFERROR(VLOOKUP(AD352,TD!$J$70:$K$93,2,0)," ")</f>
        <v>PM/0131/0104/45030040255</v>
      </c>
      <c r="AG352" s="114" t="s">
        <v>385</v>
      </c>
      <c r="AH352" s="166" t="s">
        <v>193</v>
      </c>
      <c r="AI352" s="169" t="str">
        <f>CONCATENATE(PAA[[#This Row],[Id Interno]],"-",PAA[[#This Row],[tipo de Contrato (TH talento humano - B/S bienes y/o servicios)]],"-",S352,"-",T352,"-",PAA[[#This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53" spans="2:35" s="56" customFormat="1" ht="70" x14ac:dyDescent="0.35">
      <c r="B353" s="23">
        <v>20260317</v>
      </c>
      <c r="C353" s="97" t="s">
        <v>481</v>
      </c>
      <c r="D353" s="97" t="s">
        <v>119</v>
      </c>
      <c r="E353" s="97" t="s">
        <v>402</v>
      </c>
      <c r="F353" s="164" t="s">
        <v>128</v>
      </c>
      <c r="G353" s="164" t="s">
        <v>373</v>
      </c>
      <c r="H353" s="170">
        <v>12</v>
      </c>
      <c r="I353" s="170">
        <v>0</v>
      </c>
      <c r="J353" s="114">
        <v>6914369000</v>
      </c>
      <c r="K353" s="121" t="s">
        <v>398</v>
      </c>
      <c r="L353" s="164" t="s">
        <v>158</v>
      </c>
      <c r="M353" s="171" t="s">
        <v>421</v>
      </c>
      <c r="N353" s="97" t="s">
        <v>198</v>
      </c>
      <c r="O353" s="144" t="s">
        <v>887</v>
      </c>
      <c r="P353" s="164" t="s">
        <v>549</v>
      </c>
      <c r="Q353" s="123">
        <v>80111600</v>
      </c>
      <c r="R353" s="171" t="s">
        <v>212</v>
      </c>
      <c r="S353" s="166" t="str">
        <f>MID(PAA[[#This Row],[Meta Proyecto de Inversión]],1,4)</f>
        <v>8173</v>
      </c>
      <c r="T353" s="166" t="str">
        <f>MID(PAA[[#This Row],[Meta Proyecto de Inversión]],6,2)</f>
        <v>3-</v>
      </c>
      <c r="U353" s="167" t="str">
        <f>IFERROR(VLOOKUP(N353,TD!$B$54:$F$58,2,0)," ")</f>
        <v>O230117</v>
      </c>
      <c r="V353" s="167" t="str">
        <f>IFERROR(VLOOKUP(N353,TD!$B$54:$F$58,3,0)," ")</f>
        <v>4503</v>
      </c>
      <c r="W353" s="167">
        <f>IFERROR(VLOOKUP(N353,TD!$B$54:$F$58,4,0)," ")</f>
        <v>20240255</v>
      </c>
      <c r="X353" s="166" t="s">
        <v>164</v>
      </c>
      <c r="Y353" s="167" t="str">
        <f>IFERROR(VLOOKUP(X353,TD!$J$55:$K$68,2,0)," ")</f>
        <v>Servicio de atención a incidentes y emergencias.</v>
      </c>
      <c r="Z353" s="168" t="str">
        <f>CONCATENATE(X353,"-",Y353)</f>
        <v>04-Servicio de atención a incidentes y emergencias.</v>
      </c>
      <c r="AA353" s="166" t="s">
        <v>221</v>
      </c>
      <c r="AB353" s="167" t="str">
        <f>IFERROR(VLOOKUP(AA353,TD!$N$55:$O$70,2,0)," ")</f>
        <v>Servicio de atención a emergencias y desastres</v>
      </c>
      <c r="AC353" s="168" t="str">
        <f>CONCATENATE(AA353,"_",AB353)</f>
        <v>004_Servicio de atención a emergencias y desastres</v>
      </c>
      <c r="AD353" s="168" t="str">
        <f>CONCATENATE(Z353," ",AC353)</f>
        <v>04-Servicio de atención a incidentes y emergencias. 004_Servicio de atención a emergencias y desastres</v>
      </c>
      <c r="AE353" s="167" t="str">
        <f>CONCATENATE(U353,V353,W353,X353,AA353)</f>
        <v>O23011745032024025504004</v>
      </c>
      <c r="AF353" s="167" t="str">
        <f>IFERROR(VLOOKUP(AD353,TD!$J$70:$K$93,2,0)," ")</f>
        <v>PM/0131/0104/45030040255</v>
      </c>
      <c r="AG353" s="114" t="s">
        <v>80</v>
      </c>
      <c r="AH353" s="166" t="s">
        <v>194</v>
      </c>
      <c r="AI353" s="169" t="str">
        <f>CONCATENATE(PAA[[#This Row],[Id Interno]],"-",PAA[[#This Row],[tipo de Contrato (TH talento humano - B/S bienes y/o servicios)]],"-",S353,"-",T353,"-",PAA[[#This Row],[Objeto de la contratación]])</f>
        <v>20260317-BS-8173-3--Pago pasivo exigible Subdirección Operativa</v>
      </c>
    </row>
    <row r="354" spans="2:35" s="56" customFormat="1" ht="56" x14ac:dyDescent="0.35">
      <c r="B354" s="23">
        <v>20260318</v>
      </c>
      <c r="C354" s="97" t="s">
        <v>939</v>
      </c>
      <c r="D354" s="97" t="s">
        <v>105</v>
      </c>
      <c r="E354" s="97" t="s">
        <v>363</v>
      </c>
      <c r="F354" s="164" t="s">
        <v>144</v>
      </c>
      <c r="G354" s="164" t="s">
        <v>379</v>
      </c>
      <c r="H354" s="170">
        <v>12</v>
      </c>
      <c r="I354" s="170">
        <v>0</v>
      </c>
      <c r="J354" s="114">
        <v>0</v>
      </c>
      <c r="K354" s="121" t="s">
        <v>398</v>
      </c>
      <c r="L354" s="164" t="s">
        <v>158</v>
      </c>
      <c r="M354" s="171" t="s">
        <v>421</v>
      </c>
      <c r="N354" s="97" t="s">
        <v>198</v>
      </c>
      <c r="O354" s="144" t="s">
        <v>887</v>
      </c>
      <c r="P354" s="164" t="s">
        <v>348</v>
      </c>
      <c r="Q354" s="123">
        <v>80111600</v>
      </c>
      <c r="R354" s="171" t="s">
        <v>211</v>
      </c>
      <c r="S354" s="166" t="str">
        <f>MID(PAA[[#This Row],[Meta Proyecto de Inversión]],1,4)</f>
        <v>8173</v>
      </c>
      <c r="T354" s="166" t="str">
        <f>MID(PAA[[#This Row],[Meta Proyecto de Inversión]],6,2)</f>
        <v>2-</v>
      </c>
      <c r="U354" s="167" t="str">
        <f>IFERROR(VLOOKUP(N354,TD!$B$54:$F$58,2,0)," ")</f>
        <v>O230117</v>
      </c>
      <c r="V354" s="167" t="str">
        <f>IFERROR(VLOOKUP(N354,TD!$B$54:$F$58,3,0)," ")</f>
        <v>4503</v>
      </c>
      <c r="W354" s="167">
        <f>IFERROR(VLOOKUP(N354,TD!$B$54:$F$58,4,0)," ")</f>
        <v>20240255</v>
      </c>
      <c r="X354" s="166" t="s">
        <v>178</v>
      </c>
      <c r="Y354" s="167" t="str">
        <f>IFERROR(VLOOKUP(X354,TD!$J$55:$K$68,2,0)," ")</f>
        <v>Servicio de dotación y equipamento para el personal operativo</v>
      </c>
      <c r="Z354" s="168" t="str">
        <f>CONCATENATE(X354,"-",Y354)</f>
        <v>10-Servicio de dotación y equipamento para el personal operativo</v>
      </c>
      <c r="AA354" s="166" t="s">
        <v>221</v>
      </c>
      <c r="AB354" s="167" t="str">
        <f>IFERROR(VLOOKUP(AA354,TD!$N$55:$O$70,2,0)," ")</f>
        <v>Servicio de atención a emergencias y desastres</v>
      </c>
      <c r="AC354" s="168" t="str">
        <f>CONCATENATE(AA354,"_",AB354)</f>
        <v>004_Servicio de atención a emergencias y desastres</v>
      </c>
      <c r="AD354" s="168" t="str">
        <f>CONCATENATE(Z354," ",AC354)</f>
        <v>10-Servicio de dotación y equipamento para el personal operativo 004_Servicio de atención a emergencias y desastres</v>
      </c>
      <c r="AE354" s="167" t="str">
        <f>CONCATENATE(U354,V354,W354,X354,AA354)</f>
        <v>O23011745032024025510004</v>
      </c>
      <c r="AF354" s="167" t="str">
        <f>IFERROR(VLOOKUP(AD354,TD!$J$70:$K$93,2,0)," ")</f>
        <v>PM/0131/0110/45030040255</v>
      </c>
      <c r="AG354" s="114" t="s">
        <v>864</v>
      </c>
      <c r="AH354" s="166" t="s">
        <v>193</v>
      </c>
      <c r="AI354" s="169" t="str">
        <f>CONCATENATE(PAA[[#This Row],[Id Interno]],"-",PAA[[#This Row],[tipo de Contrato (TH talento humano - B/S bienes y/o servicios)]],"-",S354,"-",T354,"-",PAA[[#This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55" spans="2:35" s="56" customFormat="1" ht="56" x14ac:dyDescent="0.35">
      <c r="B355" s="97">
        <v>20260321</v>
      </c>
      <c r="C355" s="97" t="s">
        <v>1036</v>
      </c>
      <c r="D355" s="97" t="s">
        <v>105</v>
      </c>
      <c r="E355" s="97" t="s">
        <v>363</v>
      </c>
      <c r="F355" s="164" t="s">
        <v>144</v>
      </c>
      <c r="G355" s="164" t="s">
        <v>379</v>
      </c>
      <c r="H355" s="170">
        <v>6</v>
      </c>
      <c r="I355" s="170">
        <v>15</v>
      </c>
      <c r="J355" s="114">
        <v>63050000</v>
      </c>
      <c r="K355" s="121" t="s">
        <v>398</v>
      </c>
      <c r="L355" s="164" t="s">
        <v>158</v>
      </c>
      <c r="M355" s="171" t="s">
        <v>421</v>
      </c>
      <c r="N355" s="97" t="s">
        <v>198</v>
      </c>
      <c r="O355" s="144" t="s">
        <v>887</v>
      </c>
      <c r="P355" s="164" t="s">
        <v>348</v>
      </c>
      <c r="Q355" s="123">
        <v>80111600</v>
      </c>
      <c r="R355" s="171" t="s">
        <v>210</v>
      </c>
      <c r="S355" s="166" t="str">
        <f>MID(PAA[[#This Row],[Meta Proyecto de Inversión]],1,4)</f>
        <v>8173</v>
      </c>
      <c r="T355" s="166" t="str">
        <f>MID(PAA[[#This Row],[Meta Proyecto de Inversión]],6,2)</f>
        <v>1-</v>
      </c>
      <c r="U355" s="167" t="str">
        <f>IFERROR(VLOOKUP(N355,TD!$B$54:$F$58,2,0)," ")</f>
        <v>O230117</v>
      </c>
      <c r="V355" s="167" t="str">
        <f>IFERROR(VLOOKUP(N355,TD!$B$54:$F$58,3,0)," ")</f>
        <v>4503</v>
      </c>
      <c r="W355" s="167">
        <f>IFERROR(VLOOKUP(N355,TD!$B$54:$F$58,4,0)," ")</f>
        <v>20240255</v>
      </c>
      <c r="X355" s="166" t="s">
        <v>164</v>
      </c>
      <c r="Y355" s="167" t="str">
        <f>IFERROR(VLOOKUP(X355,TD!$J$55:$K$68,2,0)," ")</f>
        <v>Servicio de atención a incidentes y emergencias.</v>
      </c>
      <c r="Z355" s="168" t="str">
        <f>CONCATENATE(X355,"-",Y355)</f>
        <v>04-Servicio de atención a incidentes y emergencias.</v>
      </c>
      <c r="AA355" s="166" t="s">
        <v>221</v>
      </c>
      <c r="AB355" s="167" t="str">
        <f>IFERROR(VLOOKUP(AA355,TD!$N$55:$O$70,2,0)," ")</f>
        <v>Servicio de atención a emergencias y desastres</v>
      </c>
      <c r="AC355" s="168" t="str">
        <f>CONCATENATE(AA355,"_",AB355)</f>
        <v>004_Servicio de atención a emergencias y desastres</v>
      </c>
      <c r="AD355" s="168" t="str">
        <f>CONCATENATE(Z355," ",AC355)</f>
        <v>04-Servicio de atención a incidentes y emergencias. 004_Servicio de atención a emergencias y desastres</v>
      </c>
      <c r="AE355" s="167" t="str">
        <f>CONCATENATE(U355,V355,W355,X355,AA355)</f>
        <v>O23011745032024025504004</v>
      </c>
      <c r="AF355" s="167" t="str">
        <f>IFERROR(VLOOKUP(AD355,TD!$J$70:$K$93,2,0)," ")</f>
        <v>PM/0131/0104/45030040255</v>
      </c>
      <c r="AG355" s="114" t="s">
        <v>385</v>
      </c>
      <c r="AH355" s="166" t="s">
        <v>193</v>
      </c>
      <c r="AI355" s="169" t="str">
        <f>CONCATENATE(PAA[[#This Row],[Id Interno]],"-",PAA[[#This Row],[tipo de Contrato (TH talento humano - B/S bienes y/o servicios)]],"-",S355,"-",T355,"-",PAA[[#This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56" spans="2:35" ht="70" x14ac:dyDescent="0.35">
      <c r="B356" s="23">
        <v>20260322</v>
      </c>
      <c r="C356" s="97" t="s">
        <v>833</v>
      </c>
      <c r="D356" s="97" t="s">
        <v>105</v>
      </c>
      <c r="E356" s="97" t="s">
        <v>363</v>
      </c>
      <c r="F356" s="164" t="s">
        <v>144</v>
      </c>
      <c r="G356" s="164" t="s">
        <v>379</v>
      </c>
      <c r="H356" s="170">
        <v>4</v>
      </c>
      <c r="I356" s="170">
        <v>0</v>
      </c>
      <c r="J356" s="114">
        <v>26400000</v>
      </c>
      <c r="K356" s="121" t="s">
        <v>398</v>
      </c>
      <c r="L356" s="164" t="s">
        <v>158</v>
      </c>
      <c r="M356" s="171" t="s">
        <v>421</v>
      </c>
      <c r="N356" s="97" t="s">
        <v>198</v>
      </c>
      <c r="O356" s="144" t="s">
        <v>887</v>
      </c>
      <c r="P356" s="164" t="s">
        <v>348</v>
      </c>
      <c r="Q356" s="123">
        <v>80111600</v>
      </c>
      <c r="R356" s="171" t="s">
        <v>211</v>
      </c>
      <c r="S356" s="166" t="str">
        <f>MID(PAA[[#This Row],[Meta Proyecto de Inversión]],1,4)</f>
        <v>8173</v>
      </c>
      <c r="T356" s="166" t="str">
        <f>MID(PAA[[#This Row],[Meta Proyecto de Inversión]],6,2)</f>
        <v>2-</v>
      </c>
      <c r="U356" s="167" t="str">
        <f>IFERROR(VLOOKUP(N356,TD!$B$54:$F$58,2,0)," ")</f>
        <v>O230117</v>
      </c>
      <c r="V356" s="167" t="str">
        <f>IFERROR(VLOOKUP(N356,TD!$B$54:$F$58,3,0)," ")</f>
        <v>4503</v>
      </c>
      <c r="W356" s="167">
        <f>IFERROR(VLOOKUP(N356,TD!$B$54:$F$58,4,0)," ")</f>
        <v>20240255</v>
      </c>
      <c r="X356" s="166" t="s">
        <v>164</v>
      </c>
      <c r="Y356" s="167" t="str">
        <f>IFERROR(VLOOKUP(X356,TD!$J$55:$K$68,2,0)," ")</f>
        <v>Servicio de atención a incidentes y emergencias.</v>
      </c>
      <c r="Z356" s="168" t="str">
        <f>CONCATENATE(X356,"-",Y356)</f>
        <v>04-Servicio de atención a incidentes y emergencias.</v>
      </c>
      <c r="AA356" s="166" t="s">
        <v>221</v>
      </c>
      <c r="AB356" s="167" t="str">
        <f>IFERROR(VLOOKUP(AA356,TD!$N$55:$O$70,2,0)," ")</f>
        <v>Servicio de atención a emergencias y desastres</v>
      </c>
      <c r="AC356" s="168" t="str">
        <f>CONCATENATE(AA356,"_",AB356)</f>
        <v>004_Servicio de atención a emergencias y desastres</v>
      </c>
      <c r="AD356" s="168" t="str">
        <f>CONCATENATE(Z356," ",AC356)</f>
        <v>04-Servicio de atención a incidentes y emergencias. 004_Servicio de atención a emergencias y desastres</v>
      </c>
      <c r="AE356" s="167" t="str">
        <f>CONCATENATE(U356,V356,W356,X356,AA356)</f>
        <v>O23011745032024025504004</v>
      </c>
      <c r="AF356" s="167" t="str">
        <f>IFERROR(VLOOKUP(AD356,TD!$J$70:$K$93,2,0)," ")</f>
        <v>PM/0131/0104/45030040255</v>
      </c>
      <c r="AG356" s="114" t="s">
        <v>385</v>
      </c>
      <c r="AH356" s="166" t="s">
        <v>193</v>
      </c>
      <c r="AI356" s="169" t="str">
        <f>CONCATENATE(PAA[[#This Row],[Id Interno]],"-",PAA[[#This Row],[tipo de Contrato (TH talento humano - B/S bienes y/o servicios)]],"-",S356,"-",T356,"-",PAA[[#This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57" spans="2:35" s="56" customFormat="1" ht="70" x14ac:dyDescent="0.35">
      <c r="B357" s="97">
        <v>20260323</v>
      </c>
      <c r="C357" s="97" t="s">
        <v>834</v>
      </c>
      <c r="D357" s="97" t="s">
        <v>105</v>
      </c>
      <c r="E357" s="97" t="s">
        <v>363</v>
      </c>
      <c r="F357" s="164" t="s">
        <v>144</v>
      </c>
      <c r="G357" s="164" t="s">
        <v>378</v>
      </c>
      <c r="H357" s="170">
        <v>6</v>
      </c>
      <c r="I357" s="170">
        <v>15</v>
      </c>
      <c r="J357" s="114">
        <v>63050000</v>
      </c>
      <c r="K357" s="121" t="s">
        <v>398</v>
      </c>
      <c r="L357" s="164" t="s">
        <v>158</v>
      </c>
      <c r="M357" s="171" t="s">
        <v>421</v>
      </c>
      <c r="N357" s="97" t="s">
        <v>198</v>
      </c>
      <c r="O357" s="144" t="s">
        <v>887</v>
      </c>
      <c r="P357" s="164" t="s">
        <v>348</v>
      </c>
      <c r="Q357" s="123">
        <v>80111600</v>
      </c>
      <c r="R357" s="171" t="s">
        <v>211</v>
      </c>
      <c r="S357" s="166" t="str">
        <f>MID(PAA[[#This Row],[Meta Proyecto de Inversión]],1,4)</f>
        <v>8173</v>
      </c>
      <c r="T357" s="166" t="str">
        <f>MID(PAA[[#This Row],[Meta Proyecto de Inversión]],6,2)</f>
        <v>2-</v>
      </c>
      <c r="U357" s="167" t="str">
        <f>IFERROR(VLOOKUP(N357,TD!$B$54:$F$58,2,0)," ")</f>
        <v>O230117</v>
      </c>
      <c r="V357" s="167" t="str">
        <f>IFERROR(VLOOKUP(N357,TD!$B$54:$F$58,3,0)," ")</f>
        <v>4503</v>
      </c>
      <c r="W357" s="167">
        <f>IFERROR(VLOOKUP(N357,TD!$B$54:$F$58,4,0)," ")</f>
        <v>20240255</v>
      </c>
      <c r="X357" s="166" t="s">
        <v>164</v>
      </c>
      <c r="Y357" s="167" t="str">
        <f>IFERROR(VLOOKUP(X357,TD!$J$55:$K$68,2,0)," ")</f>
        <v>Servicio de atención a incidentes y emergencias.</v>
      </c>
      <c r="Z357" s="168" t="str">
        <f>CONCATENATE(X357,"-",Y357)</f>
        <v>04-Servicio de atención a incidentes y emergencias.</v>
      </c>
      <c r="AA357" s="166" t="s">
        <v>221</v>
      </c>
      <c r="AB357" s="167" t="str">
        <f>IFERROR(VLOOKUP(AA357,TD!$N$55:$O$70,2,0)," ")</f>
        <v>Servicio de atención a emergencias y desastres</v>
      </c>
      <c r="AC357" s="168" t="str">
        <f>CONCATENATE(AA357,"_",AB357)</f>
        <v>004_Servicio de atención a emergencias y desastres</v>
      </c>
      <c r="AD357" s="168" t="str">
        <f>CONCATENATE(Z357," ",AC357)</f>
        <v>04-Servicio de atención a incidentes y emergencias. 004_Servicio de atención a emergencias y desastres</v>
      </c>
      <c r="AE357" s="167" t="str">
        <f>CONCATENATE(U357,V357,W357,X357,AA357)</f>
        <v>O23011745032024025504004</v>
      </c>
      <c r="AF357" s="167" t="str">
        <f>IFERROR(VLOOKUP(AD357,TD!$J$70:$K$93,2,0)," ")</f>
        <v>PM/0131/0104/45030040255</v>
      </c>
      <c r="AG357" s="114" t="s">
        <v>385</v>
      </c>
      <c r="AH357" s="166" t="s">
        <v>193</v>
      </c>
      <c r="AI357" s="169" t="str">
        <f>CONCATENATE(PAA[[#This Row],[Id Interno]],"-",PAA[[#This Row],[tipo de Contrato (TH talento humano - B/S bienes y/o servicios)]],"-",S357,"-",T357,"-",PAA[[#This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58" spans="2:35" s="56" customFormat="1" ht="98" x14ac:dyDescent="0.35">
      <c r="B358" s="97">
        <v>20260324</v>
      </c>
      <c r="C358" s="97" t="s">
        <v>1037</v>
      </c>
      <c r="D358" s="97" t="s">
        <v>105</v>
      </c>
      <c r="E358" s="97" t="s">
        <v>363</v>
      </c>
      <c r="F358" s="164" t="s">
        <v>144</v>
      </c>
      <c r="G358" s="164" t="s">
        <v>379</v>
      </c>
      <c r="H358" s="170">
        <v>6</v>
      </c>
      <c r="I358" s="170">
        <v>15</v>
      </c>
      <c r="J358" s="114">
        <v>64350000</v>
      </c>
      <c r="K358" s="121" t="s">
        <v>398</v>
      </c>
      <c r="L358" s="164" t="s">
        <v>158</v>
      </c>
      <c r="M358" s="171" t="s">
        <v>421</v>
      </c>
      <c r="N358" s="97" t="s">
        <v>198</v>
      </c>
      <c r="O358" s="144" t="s">
        <v>887</v>
      </c>
      <c r="P358" s="164" t="s">
        <v>348</v>
      </c>
      <c r="Q358" s="123">
        <v>80111600</v>
      </c>
      <c r="R358" s="171" t="s">
        <v>210</v>
      </c>
      <c r="S358" s="166" t="str">
        <f>MID(PAA[[#This Row],[Meta Proyecto de Inversión]],1,4)</f>
        <v>8173</v>
      </c>
      <c r="T358" s="166" t="str">
        <f>MID(PAA[[#This Row],[Meta Proyecto de Inversión]],6,2)</f>
        <v>1-</v>
      </c>
      <c r="U358" s="167" t="str">
        <f>IFERROR(VLOOKUP(N358,TD!$B$54:$F$58,2,0)," ")</f>
        <v>O230117</v>
      </c>
      <c r="V358" s="167" t="str">
        <f>IFERROR(VLOOKUP(N358,TD!$B$54:$F$58,3,0)," ")</f>
        <v>4503</v>
      </c>
      <c r="W358" s="167">
        <f>IFERROR(VLOOKUP(N358,TD!$B$54:$F$58,4,0)," ")</f>
        <v>20240255</v>
      </c>
      <c r="X358" s="166" t="s">
        <v>164</v>
      </c>
      <c r="Y358" s="167" t="str">
        <f>IFERROR(VLOOKUP(X358,TD!$J$55:$K$68,2,0)," ")</f>
        <v>Servicio de atención a incidentes y emergencias.</v>
      </c>
      <c r="Z358" s="168" t="str">
        <f>CONCATENATE(X358,"-",Y358)</f>
        <v>04-Servicio de atención a incidentes y emergencias.</v>
      </c>
      <c r="AA358" s="166" t="s">
        <v>221</v>
      </c>
      <c r="AB358" s="167" t="str">
        <f>IFERROR(VLOOKUP(AA358,TD!$N$55:$O$70,2,0)," ")</f>
        <v>Servicio de atención a emergencias y desastres</v>
      </c>
      <c r="AC358" s="168" t="str">
        <f>CONCATENATE(AA358,"_",AB358)</f>
        <v>004_Servicio de atención a emergencias y desastres</v>
      </c>
      <c r="AD358" s="168" t="str">
        <f>CONCATENATE(Z358," ",AC358)</f>
        <v>04-Servicio de atención a incidentes y emergencias. 004_Servicio de atención a emergencias y desastres</v>
      </c>
      <c r="AE358" s="167" t="str">
        <f>CONCATENATE(U358,V358,W358,X358,AA358)</f>
        <v>O23011745032024025504004</v>
      </c>
      <c r="AF358" s="167" t="str">
        <f>IFERROR(VLOOKUP(AD358,TD!$J$70:$K$93,2,0)," ")</f>
        <v>PM/0131/0104/45030040255</v>
      </c>
      <c r="AG358" s="114" t="s">
        <v>385</v>
      </c>
      <c r="AH358" s="166" t="s">
        <v>193</v>
      </c>
      <c r="AI358" s="169" t="str">
        <f>CONCATENATE(PAA[[#This Row],[Id Interno]],"-",PAA[[#This Row],[tipo de Contrato (TH talento humano - B/S bienes y/o servicios)]],"-",S358,"-",T358,"-",PAA[[#This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59" spans="2:35" s="56" customFormat="1" ht="56" x14ac:dyDescent="0.35">
      <c r="B359" s="97">
        <v>20260325</v>
      </c>
      <c r="C359" s="97" t="s">
        <v>1038</v>
      </c>
      <c r="D359" s="97" t="s">
        <v>105</v>
      </c>
      <c r="E359" s="97" t="s">
        <v>363</v>
      </c>
      <c r="F359" s="164" t="s">
        <v>144</v>
      </c>
      <c r="G359" s="164" t="s">
        <v>379</v>
      </c>
      <c r="H359" s="170">
        <v>6</v>
      </c>
      <c r="I359" s="170">
        <v>15</v>
      </c>
      <c r="J359" s="114">
        <v>64350000</v>
      </c>
      <c r="K359" s="121" t="s">
        <v>398</v>
      </c>
      <c r="L359" s="164" t="s">
        <v>158</v>
      </c>
      <c r="M359" s="171" t="s">
        <v>421</v>
      </c>
      <c r="N359" s="97" t="s">
        <v>198</v>
      </c>
      <c r="O359" s="144" t="s">
        <v>887</v>
      </c>
      <c r="P359" s="164" t="s">
        <v>348</v>
      </c>
      <c r="Q359" s="123">
        <v>80111600</v>
      </c>
      <c r="R359" s="171" t="s">
        <v>210</v>
      </c>
      <c r="S359" s="166" t="str">
        <f>MID(PAA[[#This Row],[Meta Proyecto de Inversión]],1,4)</f>
        <v>8173</v>
      </c>
      <c r="T359" s="166" t="str">
        <f>MID(PAA[[#This Row],[Meta Proyecto de Inversión]],6,2)</f>
        <v>1-</v>
      </c>
      <c r="U359" s="167" t="str">
        <f>IFERROR(VLOOKUP(N359,TD!$B$54:$F$58,2,0)," ")</f>
        <v>O230117</v>
      </c>
      <c r="V359" s="167" t="str">
        <f>IFERROR(VLOOKUP(N359,TD!$B$54:$F$58,3,0)," ")</f>
        <v>4503</v>
      </c>
      <c r="W359" s="167">
        <f>IFERROR(VLOOKUP(N359,TD!$B$54:$F$58,4,0)," ")</f>
        <v>20240255</v>
      </c>
      <c r="X359" s="166" t="s">
        <v>164</v>
      </c>
      <c r="Y359" s="167" t="str">
        <f>IFERROR(VLOOKUP(X359,TD!$J$55:$K$68,2,0)," ")</f>
        <v>Servicio de atención a incidentes y emergencias.</v>
      </c>
      <c r="Z359" s="168" t="str">
        <f>CONCATENATE(X359,"-",Y359)</f>
        <v>04-Servicio de atención a incidentes y emergencias.</v>
      </c>
      <c r="AA359" s="166" t="s">
        <v>221</v>
      </c>
      <c r="AB359" s="167" t="str">
        <f>IFERROR(VLOOKUP(AA359,TD!$N$55:$O$70,2,0)," ")</f>
        <v>Servicio de atención a emergencias y desastres</v>
      </c>
      <c r="AC359" s="168" t="str">
        <f>CONCATENATE(AA359,"_",AB359)</f>
        <v>004_Servicio de atención a emergencias y desastres</v>
      </c>
      <c r="AD359" s="168" t="str">
        <f>CONCATENATE(Z359," ",AC359)</f>
        <v>04-Servicio de atención a incidentes y emergencias. 004_Servicio de atención a emergencias y desastres</v>
      </c>
      <c r="AE359" s="167" t="str">
        <f>CONCATENATE(U359,V359,W359,X359,AA359)</f>
        <v>O23011745032024025504004</v>
      </c>
      <c r="AF359" s="167" t="str">
        <f>IFERROR(VLOOKUP(AD359,TD!$J$70:$K$93,2,0)," ")</f>
        <v>PM/0131/0104/45030040255</v>
      </c>
      <c r="AG359" s="114" t="s">
        <v>385</v>
      </c>
      <c r="AH359" s="166" t="s">
        <v>193</v>
      </c>
      <c r="AI359" s="169" t="str">
        <f>CONCATENATE(PAA[[#This Row],[Id Interno]],"-",PAA[[#This Row],[tipo de Contrato (TH talento humano - B/S bienes y/o servicios)]],"-",S359,"-",T359,"-",PAA[[#This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60" spans="2:35" ht="70" x14ac:dyDescent="0.35">
      <c r="B360" s="97">
        <v>20260326</v>
      </c>
      <c r="C360" s="97" t="s">
        <v>1039</v>
      </c>
      <c r="D360" s="97" t="s">
        <v>105</v>
      </c>
      <c r="E360" s="97" t="s">
        <v>363</v>
      </c>
      <c r="F360" s="164" t="s">
        <v>144</v>
      </c>
      <c r="G360" s="164" t="s">
        <v>379</v>
      </c>
      <c r="H360" s="170">
        <v>6</v>
      </c>
      <c r="I360" s="170">
        <v>0</v>
      </c>
      <c r="J360" s="114">
        <v>41040000</v>
      </c>
      <c r="K360" s="121" t="s">
        <v>398</v>
      </c>
      <c r="L360" s="164" t="s">
        <v>158</v>
      </c>
      <c r="M360" s="171" t="s">
        <v>421</v>
      </c>
      <c r="N360" s="97" t="s">
        <v>198</v>
      </c>
      <c r="O360" s="144" t="s">
        <v>887</v>
      </c>
      <c r="P360" s="164" t="s">
        <v>348</v>
      </c>
      <c r="Q360" s="123">
        <v>80111600</v>
      </c>
      <c r="R360" s="171" t="s">
        <v>210</v>
      </c>
      <c r="S360" s="166" t="str">
        <f>MID(PAA[[#This Row],[Meta Proyecto de Inversión]],1,4)</f>
        <v>8173</v>
      </c>
      <c r="T360" s="166" t="str">
        <f>MID(PAA[[#This Row],[Meta Proyecto de Inversión]],6,2)</f>
        <v>1-</v>
      </c>
      <c r="U360" s="167" t="str">
        <f>IFERROR(VLOOKUP(N360,TD!$B$54:$F$58,2,0)," ")</f>
        <v>O230117</v>
      </c>
      <c r="V360" s="167" t="str">
        <f>IFERROR(VLOOKUP(N360,TD!$B$54:$F$58,3,0)," ")</f>
        <v>4503</v>
      </c>
      <c r="W360" s="167">
        <f>IFERROR(VLOOKUP(N360,TD!$B$54:$F$58,4,0)," ")</f>
        <v>20240255</v>
      </c>
      <c r="X360" s="166" t="s">
        <v>164</v>
      </c>
      <c r="Y360" s="167" t="str">
        <f>IFERROR(VLOOKUP(X360,TD!$J$55:$K$68,2,0)," ")</f>
        <v>Servicio de atención a incidentes y emergencias.</v>
      </c>
      <c r="Z360" s="168" t="str">
        <f>CONCATENATE(X360,"-",Y360)</f>
        <v>04-Servicio de atención a incidentes y emergencias.</v>
      </c>
      <c r="AA360" s="166" t="s">
        <v>221</v>
      </c>
      <c r="AB360" s="167" t="str">
        <f>IFERROR(VLOOKUP(AA360,TD!$N$55:$O$70,2,0)," ")</f>
        <v>Servicio de atención a emergencias y desastres</v>
      </c>
      <c r="AC360" s="168" t="str">
        <f>CONCATENATE(AA360,"_",AB360)</f>
        <v>004_Servicio de atención a emergencias y desastres</v>
      </c>
      <c r="AD360" s="168" t="str">
        <f>CONCATENATE(Z360," ",AC360)</f>
        <v>04-Servicio de atención a incidentes y emergencias. 004_Servicio de atención a emergencias y desastres</v>
      </c>
      <c r="AE360" s="167" t="str">
        <f>CONCATENATE(U360,V360,W360,X360,AA360)</f>
        <v>O23011745032024025504004</v>
      </c>
      <c r="AF360" s="167" t="str">
        <f>IFERROR(VLOOKUP(AD360,TD!$J$70:$K$93,2,0)," ")</f>
        <v>PM/0131/0104/45030040255</v>
      </c>
      <c r="AG360" s="114" t="s">
        <v>385</v>
      </c>
      <c r="AH360" s="166" t="s">
        <v>193</v>
      </c>
      <c r="AI360" s="169" t="str">
        <f>CONCATENATE(PAA[[#This Row],[Id Interno]],"-",PAA[[#This Row],[tipo de Contrato (TH talento humano - B/S bienes y/o servicios)]],"-",S360,"-",T360,"-",PAA[[#This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61" spans="2:35" ht="98" x14ac:dyDescent="0.35">
      <c r="B361" s="97">
        <v>20260327</v>
      </c>
      <c r="C361" s="97" t="s">
        <v>1040</v>
      </c>
      <c r="D361" s="97" t="s">
        <v>105</v>
      </c>
      <c r="E361" s="97" t="s">
        <v>363</v>
      </c>
      <c r="F361" s="164" t="s">
        <v>144</v>
      </c>
      <c r="G361" s="164" t="s">
        <v>379</v>
      </c>
      <c r="H361" s="170">
        <v>6</v>
      </c>
      <c r="I361" s="170">
        <v>0</v>
      </c>
      <c r="J361" s="114">
        <v>43200000</v>
      </c>
      <c r="K361" s="121" t="s">
        <v>398</v>
      </c>
      <c r="L361" s="164" t="s">
        <v>158</v>
      </c>
      <c r="M361" s="171" t="s">
        <v>421</v>
      </c>
      <c r="N361" s="97" t="s">
        <v>198</v>
      </c>
      <c r="O361" s="144" t="s">
        <v>887</v>
      </c>
      <c r="P361" s="164" t="s">
        <v>348</v>
      </c>
      <c r="Q361" s="123">
        <v>80111600</v>
      </c>
      <c r="R361" s="171" t="s">
        <v>210</v>
      </c>
      <c r="S361" s="166" t="str">
        <f>MID(PAA[[#This Row],[Meta Proyecto de Inversión]],1,4)</f>
        <v>8173</v>
      </c>
      <c r="T361" s="166" t="str">
        <f>MID(PAA[[#This Row],[Meta Proyecto de Inversión]],6,2)</f>
        <v>1-</v>
      </c>
      <c r="U361" s="167" t="str">
        <f>IFERROR(VLOOKUP(N361,TD!$B$54:$F$58,2,0)," ")</f>
        <v>O230117</v>
      </c>
      <c r="V361" s="167" t="str">
        <f>IFERROR(VLOOKUP(N361,TD!$B$54:$F$58,3,0)," ")</f>
        <v>4503</v>
      </c>
      <c r="W361" s="167">
        <f>IFERROR(VLOOKUP(N361,TD!$B$54:$F$58,4,0)," ")</f>
        <v>20240255</v>
      </c>
      <c r="X361" s="166" t="s">
        <v>164</v>
      </c>
      <c r="Y361" s="167" t="str">
        <f>IFERROR(VLOOKUP(X361,TD!$J$55:$K$68,2,0)," ")</f>
        <v>Servicio de atención a incidentes y emergencias.</v>
      </c>
      <c r="Z361" s="168" t="str">
        <f>CONCATENATE(X361,"-",Y361)</f>
        <v>04-Servicio de atención a incidentes y emergencias.</v>
      </c>
      <c r="AA361" s="166" t="s">
        <v>221</v>
      </c>
      <c r="AB361" s="167" t="str">
        <f>IFERROR(VLOOKUP(AA361,TD!$N$55:$O$70,2,0)," ")</f>
        <v>Servicio de atención a emergencias y desastres</v>
      </c>
      <c r="AC361" s="168" t="str">
        <f>CONCATENATE(AA361,"_",AB361)</f>
        <v>004_Servicio de atención a emergencias y desastres</v>
      </c>
      <c r="AD361" s="168" t="str">
        <f>CONCATENATE(Z361," ",AC361)</f>
        <v>04-Servicio de atención a incidentes y emergencias. 004_Servicio de atención a emergencias y desastres</v>
      </c>
      <c r="AE361" s="167" t="str">
        <f>CONCATENATE(U361,V361,W361,X361,AA361)</f>
        <v>O23011745032024025504004</v>
      </c>
      <c r="AF361" s="167" t="str">
        <f>IFERROR(VLOOKUP(AD361,TD!$J$70:$K$93,2,0)," ")</f>
        <v>PM/0131/0104/45030040255</v>
      </c>
      <c r="AG361" s="114" t="s">
        <v>385</v>
      </c>
      <c r="AH361" s="166" t="s">
        <v>193</v>
      </c>
      <c r="AI361" s="169" t="str">
        <f>CONCATENATE(PAA[[#This Row],[Id Interno]],"-",PAA[[#This Row],[tipo de Contrato (TH talento humano - B/S bienes y/o servicios)]],"-",S361,"-",T361,"-",PAA[[#This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62" spans="2:35" s="56" customFormat="1" ht="98" x14ac:dyDescent="0.35">
      <c r="B362" s="97">
        <v>20260328</v>
      </c>
      <c r="C362" s="97" t="s">
        <v>835</v>
      </c>
      <c r="D362" s="97" t="s">
        <v>105</v>
      </c>
      <c r="E362" s="97" t="s">
        <v>363</v>
      </c>
      <c r="F362" s="164" t="s">
        <v>144</v>
      </c>
      <c r="G362" s="164" t="s">
        <v>378</v>
      </c>
      <c r="H362" s="170">
        <v>6</v>
      </c>
      <c r="I362" s="170">
        <v>15</v>
      </c>
      <c r="J362" s="114">
        <v>55250000</v>
      </c>
      <c r="K362" s="121" t="s">
        <v>398</v>
      </c>
      <c r="L362" s="164" t="s">
        <v>158</v>
      </c>
      <c r="M362" s="171" t="s">
        <v>421</v>
      </c>
      <c r="N362" s="97" t="s">
        <v>198</v>
      </c>
      <c r="O362" s="144" t="s">
        <v>887</v>
      </c>
      <c r="P362" s="164" t="s">
        <v>348</v>
      </c>
      <c r="Q362" s="123">
        <v>80111600</v>
      </c>
      <c r="R362" s="171" t="s">
        <v>211</v>
      </c>
      <c r="S362" s="166" t="str">
        <f>MID(PAA[[#This Row],[Meta Proyecto de Inversión]],1,4)</f>
        <v>8173</v>
      </c>
      <c r="T362" s="166" t="str">
        <f>MID(PAA[[#This Row],[Meta Proyecto de Inversión]],6,2)</f>
        <v>2-</v>
      </c>
      <c r="U362" s="167" t="str">
        <f>IFERROR(VLOOKUP(N362,TD!$B$54:$F$58,2,0)," ")</f>
        <v>O230117</v>
      </c>
      <c r="V362" s="167" t="str">
        <f>IFERROR(VLOOKUP(N362,TD!$B$54:$F$58,3,0)," ")</f>
        <v>4503</v>
      </c>
      <c r="W362" s="167">
        <f>IFERROR(VLOOKUP(N362,TD!$B$54:$F$58,4,0)," ")</f>
        <v>20240255</v>
      </c>
      <c r="X362" s="166" t="s">
        <v>164</v>
      </c>
      <c r="Y362" s="167" t="str">
        <f>IFERROR(VLOOKUP(X362,TD!$J$55:$K$68,2,0)," ")</f>
        <v>Servicio de atención a incidentes y emergencias.</v>
      </c>
      <c r="Z362" s="168" t="str">
        <f>CONCATENATE(X362,"-",Y362)</f>
        <v>04-Servicio de atención a incidentes y emergencias.</v>
      </c>
      <c r="AA362" s="166" t="s">
        <v>221</v>
      </c>
      <c r="AB362" s="167" t="str">
        <f>IFERROR(VLOOKUP(AA362,TD!$N$55:$O$70,2,0)," ")</f>
        <v>Servicio de atención a emergencias y desastres</v>
      </c>
      <c r="AC362" s="168" t="str">
        <f>CONCATENATE(AA362,"_",AB362)</f>
        <v>004_Servicio de atención a emergencias y desastres</v>
      </c>
      <c r="AD362" s="168" t="str">
        <f>CONCATENATE(Z362," ",AC362)</f>
        <v>04-Servicio de atención a incidentes y emergencias. 004_Servicio de atención a emergencias y desastres</v>
      </c>
      <c r="AE362" s="167" t="str">
        <f>CONCATENATE(U362,V362,W362,X362,AA362)</f>
        <v>O23011745032024025504004</v>
      </c>
      <c r="AF362" s="167" t="str">
        <f>IFERROR(VLOOKUP(AD362,TD!$J$70:$K$93,2,0)," ")</f>
        <v>PM/0131/0104/45030040255</v>
      </c>
      <c r="AG362" s="114" t="s">
        <v>385</v>
      </c>
      <c r="AH362" s="166" t="s">
        <v>193</v>
      </c>
      <c r="AI362" s="169" t="str">
        <f>CONCATENATE(PAA[[#This Row],[Id Interno]],"-",PAA[[#This Row],[tipo de Contrato (TH talento humano - B/S bienes y/o servicios)]],"-",S362,"-",T362,"-",PAA[[#This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63" spans="2:35" ht="56" x14ac:dyDescent="0.35">
      <c r="B363" s="97">
        <v>20260329</v>
      </c>
      <c r="C363" s="97" t="s">
        <v>836</v>
      </c>
      <c r="D363" s="97" t="s">
        <v>105</v>
      </c>
      <c r="E363" s="97" t="s">
        <v>363</v>
      </c>
      <c r="F363" s="164" t="s">
        <v>144</v>
      </c>
      <c r="G363" s="164" t="s">
        <v>378</v>
      </c>
      <c r="H363" s="170">
        <v>6</v>
      </c>
      <c r="I363" s="170">
        <v>15</v>
      </c>
      <c r="J363" s="114">
        <v>14000000</v>
      </c>
      <c r="K363" s="121" t="s">
        <v>398</v>
      </c>
      <c r="L363" s="164" t="s">
        <v>158</v>
      </c>
      <c r="M363" s="171" t="s">
        <v>421</v>
      </c>
      <c r="N363" s="97" t="s">
        <v>198</v>
      </c>
      <c r="O363" s="144" t="s">
        <v>887</v>
      </c>
      <c r="P363" s="164" t="s">
        <v>348</v>
      </c>
      <c r="Q363" s="123">
        <v>80111600</v>
      </c>
      <c r="R363" s="171" t="s">
        <v>211</v>
      </c>
      <c r="S363" s="166" t="str">
        <f>MID(PAA[[#This Row],[Meta Proyecto de Inversión]],1,4)</f>
        <v>8173</v>
      </c>
      <c r="T363" s="166" t="str">
        <f>MID(PAA[[#This Row],[Meta Proyecto de Inversión]],6,2)</f>
        <v>2-</v>
      </c>
      <c r="U363" s="167" t="str">
        <f>IFERROR(VLOOKUP(N363,TD!$B$54:$F$58,2,0)," ")</f>
        <v>O230117</v>
      </c>
      <c r="V363" s="167" t="str">
        <f>IFERROR(VLOOKUP(N363,TD!$B$54:$F$58,3,0)," ")</f>
        <v>4503</v>
      </c>
      <c r="W363" s="167">
        <f>IFERROR(VLOOKUP(N363,TD!$B$54:$F$58,4,0)," ")</f>
        <v>20240255</v>
      </c>
      <c r="X363" s="166" t="s">
        <v>164</v>
      </c>
      <c r="Y363" s="167" t="str">
        <f>IFERROR(VLOOKUP(X363,TD!$J$55:$K$68,2,0)," ")</f>
        <v>Servicio de atención a incidentes y emergencias.</v>
      </c>
      <c r="Z363" s="168" t="str">
        <f>CONCATENATE(X363,"-",Y363)</f>
        <v>04-Servicio de atención a incidentes y emergencias.</v>
      </c>
      <c r="AA363" s="166" t="s">
        <v>221</v>
      </c>
      <c r="AB363" s="167" t="str">
        <f>IFERROR(VLOOKUP(AA363,TD!$N$55:$O$70,2,0)," ")</f>
        <v>Servicio de atención a emergencias y desastres</v>
      </c>
      <c r="AC363" s="168" t="str">
        <f>CONCATENATE(AA363,"_",AB363)</f>
        <v>004_Servicio de atención a emergencias y desastres</v>
      </c>
      <c r="AD363" s="168" t="str">
        <f>CONCATENATE(Z363," ",AC363)</f>
        <v>04-Servicio de atención a incidentes y emergencias. 004_Servicio de atención a emergencias y desastres</v>
      </c>
      <c r="AE363" s="167" t="str">
        <f>CONCATENATE(U363,V363,W363,X363,AA363)</f>
        <v>O23011745032024025504004</v>
      </c>
      <c r="AF363" s="167" t="str">
        <f>IFERROR(VLOOKUP(AD363,TD!$J$70:$K$93,2,0)," ")</f>
        <v>PM/0131/0104/45030040255</v>
      </c>
      <c r="AG363" s="114" t="s">
        <v>385</v>
      </c>
      <c r="AH363" s="166" t="s">
        <v>193</v>
      </c>
      <c r="AI363" s="169" t="str">
        <f>CONCATENATE(PAA[[#This Row],[Id Interno]],"-",PAA[[#This Row],[tipo de Contrato (TH talento humano - B/S bienes y/o servicios)]],"-",S363,"-",T363,"-",PAA[[#This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64" spans="2:35" ht="84" x14ac:dyDescent="0.35">
      <c r="B364" s="23">
        <v>20260330</v>
      </c>
      <c r="C364" s="97" t="s">
        <v>837</v>
      </c>
      <c r="D364" s="97" t="s">
        <v>105</v>
      </c>
      <c r="E364" s="97" t="s">
        <v>363</v>
      </c>
      <c r="F364" s="164" t="s">
        <v>145</v>
      </c>
      <c r="G364" s="164" t="s">
        <v>379</v>
      </c>
      <c r="H364" s="170">
        <v>6</v>
      </c>
      <c r="I364" s="170">
        <v>0</v>
      </c>
      <c r="J364" s="114">
        <v>18900000</v>
      </c>
      <c r="K364" s="121" t="s">
        <v>398</v>
      </c>
      <c r="L364" s="164" t="s">
        <v>158</v>
      </c>
      <c r="M364" s="171" t="s">
        <v>421</v>
      </c>
      <c r="N364" s="97" t="s">
        <v>198</v>
      </c>
      <c r="O364" s="144" t="s">
        <v>887</v>
      </c>
      <c r="P364" s="164" t="s">
        <v>348</v>
      </c>
      <c r="Q364" s="123">
        <v>80111600</v>
      </c>
      <c r="R364" s="171" t="s">
        <v>211</v>
      </c>
      <c r="S364" s="166" t="str">
        <f>MID(PAA[[#This Row],[Meta Proyecto de Inversión]],1,4)</f>
        <v>8173</v>
      </c>
      <c r="T364" s="166" t="str">
        <f>MID(PAA[[#This Row],[Meta Proyecto de Inversión]],6,2)</f>
        <v>2-</v>
      </c>
      <c r="U364" s="167" t="str">
        <f>IFERROR(VLOOKUP(N364,TD!$B$54:$F$58,2,0)," ")</f>
        <v>O230117</v>
      </c>
      <c r="V364" s="167" t="str">
        <f>IFERROR(VLOOKUP(N364,TD!$B$54:$F$58,3,0)," ")</f>
        <v>4503</v>
      </c>
      <c r="W364" s="167">
        <f>IFERROR(VLOOKUP(N364,TD!$B$54:$F$58,4,0)," ")</f>
        <v>20240255</v>
      </c>
      <c r="X364" s="166" t="s">
        <v>164</v>
      </c>
      <c r="Y364" s="167" t="str">
        <f>IFERROR(VLOOKUP(X364,TD!$J$55:$K$68,2,0)," ")</f>
        <v>Servicio de atención a incidentes y emergencias.</v>
      </c>
      <c r="Z364" s="168" t="str">
        <f>CONCATENATE(X364,"-",Y364)</f>
        <v>04-Servicio de atención a incidentes y emergencias.</v>
      </c>
      <c r="AA364" s="166" t="s">
        <v>221</v>
      </c>
      <c r="AB364" s="167" t="str">
        <f>IFERROR(VLOOKUP(AA364,TD!$N$55:$O$70,2,0)," ")</f>
        <v>Servicio de atención a emergencias y desastres</v>
      </c>
      <c r="AC364" s="168" t="str">
        <f>CONCATENATE(AA364,"_",AB364)</f>
        <v>004_Servicio de atención a emergencias y desastres</v>
      </c>
      <c r="AD364" s="168" t="str">
        <f>CONCATENATE(Z364," ",AC364)</f>
        <v>04-Servicio de atención a incidentes y emergencias. 004_Servicio de atención a emergencias y desastres</v>
      </c>
      <c r="AE364" s="167" t="str">
        <f>CONCATENATE(U364,V364,W364,X364,AA364)</f>
        <v>O23011745032024025504004</v>
      </c>
      <c r="AF364" s="167" t="str">
        <f>IFERROR(VLOOKUP(AD364,TD!$J$70:$K$93,2,0)," ")</f>
        <v>PM/0131/0104/45030040255</v>
      </c>
      <c r="AG364" s="114" t="s">
        <v>385</v>
      </c>
      <c r="AH364" s="166" t="s">
        <v>193</v>
      </c>
      <c r="AI364" s="169" t="str">
        <f>CONCATENATE(PAA[[#This Row],[Id Interno]],"-",PAA[[#This Row],[tipo de Contrato (TH talento humano - B/S bienes y/o servicios)]],"-",S364,"-",T364,"-",PAA[[#This Row],[Objeto de la contratación]])</f>
        <v>20260330-TH-8173-2--Prestación de servicios de apoyo a la gestión en las actividades documentales, administrativas y manejo de las herramientas de gestión, para el acompañamiento de los programas de la Subdirección Operativa S.O.</v>
      </c>
    </row>
    <row r="365" spans="2:35" ht="56" x14ac:dyDescent="0.35">
      <c r="B365" s="97">
        <v>20260331</v>
      </c>
      <c r="C365" s="97" t="s">
        <v>1128</v>
      </c>
      <c r="D365" s="97" t="s">
        <v>88</v>
      </c>
      <c r="E365" s="97" t="s">
        <v>402</v>
      </c>
      <c r="F365" s="164" t="s">
        <v>101</v>
      </c>
      <c r="G365" s="164" t="s">
        <v>379</v>
      </c>
      <c r="H365" s="170">
        <v>6</v>
      </c>
      <c r="I365" s="170">
        <v>0</v>
      </c>
      <c r="J365" s="114">
        <v>1744500000</v>
      </c>
      <c r="K365" s="121" t="s">
        <v>398</v>
      </c>
      <c r="L365" s="164" t="s">
        <v>158</v>
      </c>
      <c r="M365" s="171" t="s">
        <v>421</v>
      </c>
      <c r="N365" s="97" t="s">
        <v>330</v>
      </c>
      <c r="O365" s="144" t="s">
        <v>886</v>
      </c>
      <c r="P365" s="164" t="s">
        <v>161</v>
      </c>
      <c r="Q365" s="123" t="s">
        <v>1241</v>
      </c>
      <c r="R365" s="171" t="s">
        <v>331</v>
      </c>
      <c r="S365" s="166" t="str">
        <f>MID(PAA[[#This Row],[Meta Proyecto de Inversión]],1,4)</f>
        <v>No a</v>
      </c>
      <c r="T365" s="166" t="str">
        <f>MID(PAA[[#This Row],[Meta Proyecto de Inversión]],6,2)</f>
        <v>li</v>
      </c>
      <c r="U365" s="167" t="str">
        <f>IFERROR(VLOOKUP(N365,TD!$B$54:$F$58,2,0)," ")</f>
        <v>NA</v>
      </c>
      <c r="V365" s="167" t="str">
        <f>IFERROR(VLOOKUP(N365,TD!$B$54:$F$58,3,0)," ")</f>
        <v>NA</v>
      </c>
      <c r="W365" s="167" t="str">
        <f>IFERROR(VLOOKUP(N365,TD!$B$54:$F$58,4,0)," ")</f>
        <v>NA</v>
      </c>
      <c r="X365" s="166" t="s">
        <v>335</v>
      </c>
      <c r="Y365" s="167" t="str">
        <f>IFERROR(VLOOKUP(X365,TD!$J$55:$K$68,2,0)," ")</f>
        <v>N/A</v>
      </c>
      <c r="Z365" s="168" t="str">
        <f>CONCATENATE(X365,"-",Y365)</f>
        <v>N/A-N/A</v>
      </c>
      <c r="AA365" s="166" t="s">
        <v>335</v>
      </c>
      <c r="AB365" s="167" t="str">
        <f>IFERROR(VLOOKUP(AA365,TD!$N$55:$O$70,2,0)," ")</f>
        <v>N/A</v>
      </c>
      <c r="AC365" s="168" t="str">
        <f>CONCATENATE(AA365,"_",AB365)</f>
        <v>N/A_N/A</v>
      </c>
      <c r="AD365" s="168" t="str">
        <f>CONCATENATE(Z365," ",AC365)</f>
        <v>N/A-N/A N/A_N/A</v>
      </c>
      <c r="AE365" s="167" t="str">
        <f>CONCATENATE(U365,V365,W365,X365,AA365)</f>
        <v>NANANAN/AN/A</v>
      </c>
      <c r="AF365" s="167" t="str">
        <f>IFERROR(VLOOKUP(AD365,TD!$J$70:$K$93,2,0)," ")</f>
        <v>N/A</v>
      </c>
      <c r="AG365" s="114" t="s">
        <v>349</v>
      </c>
      <c r="AH365" s="166" t="s">
        <v>193</v>
      </c>
      <c r="AI365" s="169" t="str">
        <f>CONCATENATE(PAA[[#This Row],[Id Interno]],"-",PAA[[#This Row],[tipo de Contrato (TH talento humano - B/S bienes y/o servicios)]],"-",S365,"-",T365,"-",PAA[[#This Row],[Objeto de la contratación]])</f>
        <v>20260331-BS-No a-li-Adquisición de uniformes y chaquetas para el personal operativo de la UAECOB</v>
      </c>
    </row>
    <row r="366" spans="2:35" ht="42" x14ac:dyDescent="0.35">
      <c r="B366" s="97">
        <v>20260332</v>
      </c>
      <c r="C366" s="97" t="s">
        <v>838</v>
      </c>
      <c r="D366" s="97" t="s">
        <v>105</v>
      </c>
      <c r="E366" s="97" t="s">
        <v>363</v>
      </c>
      <c r="F366" s="164" t="s">
        <v>144</v>
      </c>
      <c r="G366" s="164" t="s">
        <v>378</v>
      </c>
      <c r="H366" s="170">
        <v>6</v>
      </c>
      <c r="I366" s="170">
        <v>15</v>
      </c>
      <c r="J366" s="114">
        <v>46800000</v>
      </c>
      <c r="K366" s="121" t="s">
        <v>398</v>
      </c>
      <c r="L366" s="164" t="s">
        <v>158</v>
      </c>
      <c r="M366" s="171" t="s">
        <v>421</v>
      </c>
      <c r="N366" s="97" t="s">
        <v>198</v>
      </c>
      <c r="O366" s="144" t="s">
        <v>887</v>
      </c>
      <c r="P366" s="164" t="s">
        <v>348</v>
      </c>
      <c r="Q366" s="123">
        <v>80111600</v>
      </c>
      <c r="R366" s="171" t="s">
        <v>211</v>
      </c>
      <c r="S366" s="166" t="str">
        <f>MID(PAA[[#This Row],[Meta Proyecto de Inversión]],1,4)</f>
        <v>8173</v>
      </c>
      <c r="T366" s="166" t="str">
        <f>MID(PAA[[#This Row],[Meta Proyecto de Inversión]],6,2)</f>
        <v>2-</v>
      </c>
      <c r="U366" s="167" t="str">
        <f>IFERROR(VLOOKUP(N366,TD!$B$54:$F$58,2,0)," ")</f>
        <v>O230117</v>
      </c>
      <c r="V366" s="167" t="str">
        <f>IFERROR(VLOOKUP(N366,TD!$B$54:$F$58,3,0)," ")</f>
        <v>4503</v>
      </c>
      <c r="W366" s="167">
        <f>IFERROR(VLOOKUP(N366,TD!$B$54:$F$58,4,0)," ")</f>
        <v>20240255</v>
      </c>
      <c r="X366" s="166" t="s">
        <v>164</v>
      </c>
      <c r="Y366" s="167" t="str">
        <f>IFERROR(VLOOKUP(X366,TD!$J$55:$K$68,2,0)," ")</f>
        <v>Servicio de atención a incidentes y emergencias.</v>
      </c>
      <c r="Z366" s="168" t="str">
        <f>CONCATENATE(X366,"-",Y366)</f>
        <v>04-Servicio de atención a incidentes y emergencias.</v>
      </c>
      <c r="AA366" s="166" t="s">
        <v>221</v>
      </c>
      <c r="AB366" s="167" t="str">
        <f>IFERROR(VLOOKUP(AA366,TD!$N$55:$O$70,2,0)," ")</f>
        <v>Servicio de atención a emergencias y desastres</v>
      </c>
      <c r="AC366" s="168" t="str">
        <f>CONCATENATE(AA366,"_",AB366)</f>
        <v>004_Servicio de atención a emergencias y desastres</v>
      </c>
      <c r="AD366" s="168" t="str">
        <f>CONCATENATE(Z366," ",AC366)</f>
        <v>04-Servicio de atención a incidentes y emergencias. 004_Servicio de atención a emergencias y desastres</v>
      </c>
      <c r="AE366" s="167" t="str">
        <f>CONCATENATE(U366,V366,W366,X366,AA366)</f>
        <v>O23011745032024025504004</v>
      </c>
      <c r="AF366" s="167" t="str">
        <f>IFERROR(VLOOKUP(AD366,TD!$J$70:$K$93,2,0)," ")</f>
        <v>PM/0131/0104/45030040255</v>
      </c>
      <c r="AG366" s="114" t="s">
        <v>385</v>
      </c>
      <c r="AH366" s="166" t="s">
        <v>193</v>
      </c>
      <c r="AI366" s="169" t="str">
        <f>CONCATENATE(PAA[[#This Row],[Id Interno]],"-",PAA[[#This Row],[tipo de Contrato (TH talento humano - B/S bienes y/o servicios)]],"-",S366,"-",T366,"-",PAA[[#This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67" spans="2:35" ht="70" x14ac:dyDescent="0.35">
      <c r="B367" s="23">
        <v>20260333</v>
      </c>
      <c r="C367" s="97" t="s">
        <v>884</v>
      </c>
      <c r="D367" s="23" t="s">
        <v>105</v>
      </c>
      <c r="E367" s="23" t="s">
        <v>363</v>
      </c>
      <c r="F367" s="163" t="s">
        <v>145</v>
      </c>
      <c r="G367" s="164" t="s">
        <v>373</v>
      </c>
      <c r="H367" s="165">
        <v>10</v>
      </c>
      <c r="I367" s="165">
        <v>0</v>
      </c>
      <c r="J367" s="122">
        <v>37500000</v>
      </c>
      <c r="K367" s="88" t="s">
        <v>398</v>
      </c>
      <c r="L367" s="163" t="s">
        <v>156</v>
      </c>
      <c r="M367" s="166" t="s">
        <v>484</v>
      </c>
      <c r="N367" s="23" t="s">
        <v>198</v>
      </c>
      <c r="O367" s="144" t="s">
        <v>887</v>
      </c>
      <c r="P367" s="163" t="s">
        <v>348</v>
      </c>
      <c r="Q367" s="53">
        <v>80111600</v>
      </c>
      <c r="R367" s="166" t="s">
        <v>210</v>
      </c>
      <c r="S367" s="166" t="str">
        <f>MID(PAA[[#This Row],[Meta Proyecto de Inversión]],1,4)</f>
        <v>8173</v>
      </c>
      <c r="T367" s="166" t="str">
        <f>MID(PAA[[#This Row],[Meta Proyecto de Inversión]],6,2)</f>
        <v>1-</v>
      </c>
      <c r="U367" s="167" t="str">
        <f>IFERROR(VLOOKUP(N367,TD!$B$54:$F$58,2,0)," ")</f>
        <v>O230117</v>
      </c>
      <c r="V367" s="167" t="str">
        <f>IFERROR(VLOOKUP(N367,TD!$B$54:$F$58,3,0)," ")</f>
        <v>4503</v>
      </c>
      <c r="W367" s="167">
        <f>IFERROR(VLOOKUP(N367,TD!$B$54:$F$58,4,0)," ")</f>
        <v>20240255</v>
      </c>
      <c r="X367" s="166" t="s">
        <v>166</v>
      </c>
      <c r="Y367" s="167" t="str">
        <f>IFERROR(VLOOKUP(X367,TD!$J$55:$K$68,2,0)," ")</f>
        <v>Servicio de capacitaciones en gestión del riesgo de incendios  a la ciudadania.</v>
      </c>
      <c r="Z367" s="168" t="str">
        <f>CONCATENATE(X367,"-",Y367)</f>
        <v>05-Servicio de capacitaciones en gestión del riesgo de incendios  a la ciudadania.</v>
      </c>
      <c r="AA367" s="166" t="s">
        <v>223</v>
      </c>
      <c r="AB367" s="167" t="str">
        <f>IFERROR(VLOOKUP(AA367,TD!$N$55:$O$70,2,0)," ")</f>
        <v>Servicio prevención y control de incendios</v>
      </c>
      <c r="AC367" s="168" t="str">
        <f>CONCATENATE(AA367,"_",AB367)</f>
        <v>035_Servicio prevención y control de incendios</v>
      </c>
      <c r="AD367" s="168" t="str">
        <f>CONCATENATE(Z367," ",AC367)</f>
        <v>05-Servicio de capacitaciones en gestión del riesgo de incendios  a la ciudadania. 035_Servicio prevención y control de incendios</v>
      </c>
      <c r="AE367" s="167" t="str">
        <f>CONCATENATE(U367,V367,W367,X367,AA367)</f>
        <v>O23011745032024025505035</v>
      </c>
      <c r="AF367" s="167" t="str">
        <f>IFERROR(VLOOKUP(AD367,TD!$J$70:$K$93,2,0)," ")</f>
        <v>PM/0131/0105/45030350255</v>
      </c>
      <c r="AG367" s="114" t="s">
        <v>385</v>
      </c>
      <c r="AH367" s="166" t="s">
        <v>193</v>
      </c>
      <c r="AI367" s="169" t="str">
        <f>CONCATENATE(PAA[[#This Row],[Id Interno]],"-",PAA[[#This Row],[tipo de Contrato (TH talento humano - B/S bienes y/o servicios)]],"-",S367,"-",T367,"-",PAA[[#This Row],[Objeto de la contratación]])</f>
        <v>20260333-TH-8173-1--Prestar servicios de apoyo como conductor a las acciones misionales de la Subdirección de Gestión del Riesgo.</v>
      </c>
    </row>
    <row r="368" spans="2:35" ht="56" x14ac:dyDescent="0.35">
      <c r="B368" s="97">
        <v>20260334</v>
      </c>
      <c r="C368" s="97" t="s">
        <v>508</v>
      </c>
      <c r="D368" s="97" t="s">
        <v>105</v>
      </c>
      <c r="E368" s="97" t="s">
        <v>363</v>
      </c>
      <c r="F368" s="164" t="s">
        <v>144</v>
      </c>
      <c r="G368" s="164" t="s">
        <v>373</v>
      </c>
      <c r="H368" s="170">
        <v>10</v>
      </c>
      <c r="I368" s="170">
        <v>0</v>
      </c>
      <c r="J368" s="114">
        <v>56000000</v>
      </c>
      <c r="K368" s="121" t="s">
        <v>398</v>
      </c>
      <c r="L368" s="164" t="s">
        <v>156</v>
      </c>
      <c r="M368" s="171" t="s">
        <v>484</v>
      </c>
      <c r="N368" s="97" t="s">
        <v>198</v>
      </c>
      <c r="O368" s="144" t="s">
        <v>887</v>
      </c>
      <c r="P368" s="164" t="s">
        <v>348</v>
      </c>
      <c r="Q368" s="123">
        <v>80111600</v>
      </c>
      <c r="R368" s="171" t="s">
        <v>210</v>
      </c>
      <c r="S368" s="168" t="str">
        <f>MID(PAA[[#This Row],[Meta Proyecto de Inversión]],1,4)</f>
        <v>8173</v>
      </c>
      <c r="T368" s="168" t="str">
        <f>MID(PAA[[#This Row],[Meta Proyecto de Inversión]],6,2)</f>
        <v>1-</v>
      </c>
      <c r="U368" s="172" t="str">
        <f>IFERROR(VLOOKUP(N368,TD!$B$54:$F$58,2,0)," ")</f>
        <v>O230117</v>
      </c>
      <c r="V368" s="172" t="str">
        <f>IFERROR(VLOOKUP(N368,TD!$B$54:$F$58,3,0)," ")</f>
        <v>4503</v>
      </c>
      <c r="W368" s="172">
        <f>IFERROR(VLOOKUP(N368,TD!$B$54:$F$58,4,0)," ")</f>
        <v>20240255</v>
      </c>
      <c r="X368" s="171" t="s">
        <v>166</v>
      </c>
      <c r="Y368" s="172" t="str">
        <f>IFERROR(VLOOKUP(X368,TD!$J$55:$K$68,2,0)," ")</f>
        <v>Servicio de capacitaciones en gestión del riesgo de incendios  a la ciudadania.</v>
      </c>
      <c r="Z368" s="168" t="str">
        <f>CONCATENATE(X368,"-",Y368)</f>
        <v>05-Servicio de capacitaciones en gestión del riesgo de incendios  a la ciudadania.</v>
      </c>
      <c r="AA368" s="171" t="s">
        <v>223</v>
      </c>
      <c r="AB368" s="172" t="str">
        <f>IFERROR(VLOOKUP(AA368,TD!$N$55:$O$70,2,0)," ")</f>
        <v>Servicio prevención y control de incendios</v>
      </c>
      <c r="AC368" s="168" t="str">
        <f>CONCATENATE(AA368,"_",AB368)</f>
        <v>035_Servicio prevención y control de incendios</v>
      </c>
      <c r="AD368" s="168" t="str">
        <f>CONCATENATE(Z368," ",AC368)</f>
        <v>05-Servicio de capacitaciones en gestión del riesgo de incendios  a la ciudadania. 035_Servicio prevención y control de incendios</v>
      </c>
      <c r="AE368" s="172" t="str">
        <f>CONCATENATE(U368,V368,W368,X368,AA368)</f>
        <v>O23011745032024025505035</v>
      </c>
      <c r="AF368" s="172" t="str">
        <f>IFERROR(VLOOKUP(AD368,TD!$J$70:$K$93,2,0)," ")</f>
        <v>PM/0131/0105/45030350255</v>
      </c>
      <c r="AG368" s="114" t="s">
        <v>385</v>
      </c>
      <c r="AH368" s="171" t="s">
        <v>193</v>
      </c>
      <c r="AI368" s="173" t="str">
        <f>CONCATENATE(PAA[[#This Row],[Id Interno]],"-",PAA[[#This Row],[tipo de Contrato (TH talento humano - B/S bienes y/o servicios)]],"-",S368,"-",T368,"-",PAA[[#This Row],[Objeto de la contratación]])</f>
        <v>20260334-TH-8173-1--Prestar servicios profesionales para apoyar la planeación y gestión de las  estrategias de reducción y/o conocimiento del riesgo  para la Subdirección de Gestión del Riesgo._SGR</v>
      </c>
    </row>
    <row r="369" spans="2:35" ht="56" x14ac:dyDescent="0.35">
      <c r="B369" s="97">
        <v>20260335</v>
      </c>
      <c r="C369" s="97" t="s">
        <v>509</v>
      </c>
      <c r="D369" s="97" t="s">
        <v>105</v>
      </c>
      <c r="E369" s="97" t="s">
        <v>363</v>
      </c>
      <c r="F369" s="164" t="s">
        <v>144</v>
      </c>
      <c r="G369" s="164" t="s">
        <v>373</v>
      </c>
      <c r="H369" s="170">
        <v>8</v>
      </c>
      <c r="I369" s="170">
        <v>0</v>
      </c>
      <c r="J369" s="114">
        <v>35000000</v>
      </c>
      <c r="K369" s="121" t="s">
        <v>398</v>
      </c>
      <c r="L369" s="164" t="s">
        <v>156</v>
      </c>
      <c r="M369" s="171" t="s">
        <v>484</v>
      </c>
      <c r="N369" s="97" t="s">
        <v>198</v>
      </c>
      <c r="O369" s="144" t="s">
        <v>887</v>
      </c>
      <c r="P369" s="164" t="s">
        <v>348</v>
      </c>
      <c r="Q369" s="123">
        <v>80111600</v>
      </c>
      <c r="R369" s="171" t="s">
        <v>210</v>
      </c>
      <c r="S369" s="168" t="str">
        <f>MID(PAA[[#This Row],[Meta Proyecto de Inversión]],1,4)</f>
        <v>8173</v>
      </c>
      <c r="T369" s="168" t="str">
        <f>MID(PAA[[#This Row],[Meta Proyecto de Inversión]],6,2)</f>
        <v>1-</v>
      </c>
      <c r="U369" s="172" t="str">
        <f>IFERROR(VLOOKUP(N369,TD!$B$54:$F$58,2,0)," ")</f>
        <v>O230117</v>
      </c>
      <c r="V369" s="172" t="str">
        <f>IFERROR(VLOOKUP(N369,TD!$B$54:$F$58,3,0)," ")</f>
        <v>4503</v>
      </c>
      <c r="W369" s="172">
        <f>IFERROR(VLOOKUP(N369,TD!$B$54:$F$58,4,0)," ")</f>
        <v>20240255</v>
      </c>
      <c r="X369" s="171" t="s">
        <v>166</v>
      </c>
      <c r="Y369" s="172" t="str">
        <f>IFERROR(VLOOKUP(X369,TD!$J$55:$K$68,2,0)," ")</f>
        <v>Servicio de capacitaciones en gestión del riesgo de incendios  a la ciudadania.</v>
      </c>
      <c r="Z369" s="168" t="str">
        <f>CONCATENATE(X369,"-",Y369)</f>
        <v>05-Servicio de capacitaciones en gestión del riesgo de incendios  a la ciudadania.</v>
      </c>
      <c r="AA369" s="171" t="s">
        <v>223</v>
      </c>
      <c r="AB369" s="172" t="str">
        <f>IFERROR(VLOOKUP(AA369,TD!$N$55:$O$70,2,0)," ")</f>
        <v>Servicio prevención y control de incendios</v>
      </c>
      <c r="AC369" s="168" t="str">
        <f>CONCATENATE(AA369,"_",AB369)</f>
        <v>035_Servicio prevención y control de incendios</v>
      </c>
      <c r="AD369" s="168" t="str">
        <f>CONCATENATE(Z369," ",AC369)</f>
        <v>05-Servicio de capacitaciones en gestión del riesgo de incendios  a la ciudadania. 035_Servicio prevención y control de incendios</v>
      </c>
      <c r="AE369" s="172" t="str">
        <f>CONCATENATE(U369,V369,W369,X369,AA369)</f>
        <v>O23011745032024025505035</v>
      </c>
      <c r="AF369" s="172" t="str">
        <f>IFERROR(VLOOKUP(AD369,TD!$J$70:$K$93,2,0)," ")</f>
        <v>PM/0131/0105/45030350255</v>
      </c>
      <c r="AG369" s="114" t="s">
        <v>385</v>
      </c>
      <c r="AH369" s="171" t="s">
        <v>193</v>
      </c>
      <c r="AI369" s="173" t="str">
        <f>CONCATENATE(PAA[[#This Row],[Id Interno]],"-",PAA[[#This Row],[tipo de Contrato (TH talento humano - B/S bienes y/o servicios)]],"-",S369,"-",T369,"-",PAA[[#This Row],[Objeto de la contratación]])</f>
        <v>20260335-TH-8173-1--Prestar servicios profesionales en  los componentes tecnológicos e informáticos relacionados con los aspectos misionales de la Subdirección de Gestión del Riesgo._SGR</v>
      </c>
    </row>
    <row r="370" spans="2:35" ht="56" x14ac:dyDescent="0.35">
      <c r="B370" s="97">
        <v>20260336</v>
      </c>
      <c r="C370" s="97" t="s">
        <v>510</v>
      </c>
      <c r="D370" s="97" t="s">
        <v>105</v>
      </c>
      <c r="E370" s="97" t="s">
        <v>363</v>
      </c>
      <c r="F370" s="164" t="s">
        <v>145</v>
      </c>
      <c r="G370" s="164" t="s">
        <v>373</v>
      </c>
      <c r="H370" s="170">
        <v>8</v>
      </c>
      <c r="I370" s="170">
        <v>0</v>
      </c>
      <c r="J370" s="114">
        <v>28000000</v>
      </c>
      <c r="K370" s="121" t="s">
        <v>398</v>
      </c>
      <c r="L370" s="164" t="s">
        <v>156</v>
      </c>
      <c r="M370" s="171" t="s">
        <v>484</v>
      </c>
      <c r="N370" s="97" t="s">
        <v>198</v>
      </c>
      <c r="O370" s="144" t="s">
        <v>887</v>
      </c>
      <c r="P370" s="164" t="s">
        <v>348</v>
      </c>
      <c r="Q370" s="123">
        <v>80111600</v>
      </c>
      <c r="R370" s="171" t="s">
        <v>210</v>
      </c>
      <c r="S370" s="168" t="str">
        <f>MID(PAA[[#This Row],[Meta Proyecto de Inversión]],1,4)</f>
        <v>8173</v>
      </c>
      <c r="T370" s="168" t="str">
        <f>MID(PAA[[#This Row],[Meta Proyecto de Inversión]],6,2)</f>
        <v>1-</v>
      </c>
      <c r="U370" s="172" t="str">
        <f>IFERROR(VLOOKUP(N370,TD!$B$54:$F$58,2,0)," ")</f>
        <v>O230117</v>
      </c>
      <c r="V370" s="172" t="str">
        <f>IFERROR(VLOOKUP(N370,TD!$B$54:$F$58,3,0)," ")</f>
        <v>4503</v>
      </c>
      <c r="W370" s="172">
        <f>IFERROR(VLOOKUP(N370,TD!$B$54:$F$58,4,0)," ")</f>
        <v>20240255</v>
      </c>
      <c r="X370" s="171" t="s">
        <v>166</v>
      </c>
      <c r="Y370" s="172" t="str">
        <f>IFERROR(VLOOKUP(X370,TD!$J$55:$K$68,2,0)," ")</f>
        <v>Servicio de capacitaciones en gestión del riesgo de incendios  a la ciudadania.</v>
      </c>
      <c r="Z370" s="168" t="str">
        <f>CONCATENATE(X370,"-",Y370)</f>
        <v>05-Servicio de capacitaciones en gestión del riesgo de incendios  a la ciudadania.</v>
      </c>
      <c r="AA370" s="171" t="s">
        <v>223</v>
      </c>
      <c r="AB370" s="172" t="str">
        <f>IFERROR(VLOOKUP(AA370,TD!$N$55:$O$70,2,0)," ")</f>
        <v>Servicio prevención y control de incendios</v>
      </c>
      <c r="AC370" s="168" t="str">
        <f>CONCATENATE(AA370,"_",AB370)</f>
        <v>035_Servicio prevención y control de incendios</v>
      </c>
      <c r="AD370" s="168" t="str">
        <f>CONCATENATE(Z370," ",AC370)</f>
        <v>05-Servicio de capacitaciones en gestión del riesgo de incendios  a la ciudadania. 035_Servicio prevención y control de incendios</v>
      </c>
      <c r="AE370" s="172" t="str">
        <f>CONCATENATE(U370,V370,W370,X370,AA370)</f>
        <v>O23011745032024025505035</v>
      </c>
      <c r="AF370" s="172" t="str">
        <f>IFERROR(VLOOKUP(AD370,TD!$J$70:$K$93,2,0)," ")</f>
        <v>PM/0131/0105/45030350255</v>
      </c>
      <c r="AG370" s="114" t="s">
        <v>385</v>
      </c>
      <c r="AH370" s="171" t="s">
        <v>193</v>
      </c>
      <c r="AI370" s="173" t="str">
        <f>CONCATENATE(PAA[[#This Row],[Id Interno]],"-",PAA[[#This Row],[tipo de Contrato (TH talento humano - B/S bienes y/o servicios)]],"-",S370,"-",T370,"-",PAA[[#This Row],[Objeto de la contratación]])</f>
        <v>20260336-TH-8173-1--Prestar servicios de apoyo para el seguimiento y respuesta de requerimientos ciudadanos relacionados con la misionalidad de la Subdirección de Gestión del Riesgo_SGR</v>
      </c>
    </row>
    <row r="371" spans="2:35" ht="56" x14ac:dyDescent="0.35">
      <c r="B371" s="97">
        <v>20260337</v>
      </c>
      <c r="C371" s="97" t="s">
        <v>511</v>
      </c>
      <c r="D371" s="97" t="s">
        <v>105</v>
      </c>
      <c r="E371" s="97" t="s">
        <v>363</v>
      </c>
      <c r="F371" s="164" t="s">
        <v>144</v>
      </c>
      <c r="G371" s="164" t="s">
        <v>373</v>
      </c>
      <c r="H371" s="170">
        <v>7</v>
      </c>
      <c r="I371" s="170">
        <v>15</v>
      </c>
      <c r="J371" s="114">
        <v>49000000</v>
      </c>
      <c r="K371" s="121" t="s">
        <v>398</v>
      </c>
      <c r="L371" s="164" t="s">
        <v>156</v>
      </c>
      <c r="M371" s="171" t="s">
        <v>484</v>
      </c>
      <c r="N371" s="97" t="s">
        <v>198</v>
      </c>
      <c r="O371" s="144" t="s">
        <v>887</v>
      </c>
      <c r="P371" s="164" t="s">
        <v>348</v>
      </c>
      <c r="Q371" s="123">
        <v>80111600</v>
      </c>
      <c r="R371" s="171" t="s">
        <v>210</v>
      </c>
      <c r="S371" s="168" t="str">
        <f>MID(PAA[[#This Row],[Meta Proyecto de Inversión]],1,4)</f>
        <v>8173</v>
      </c>
      <c r="T371" s="168" t="str">
        <f>MID(PAA[[#This Row],[Meta Proyecto de Inversión]],6,2)</f>
        <v>1-</v>
      </c>
      <c r="U371" s="172" t="str">
        <f>IFERROR(VLOOKUP(N371,TD!$B$54:$F$58,2,0)," ")</f>
        <v>O230117</v>
      </c>
      <c r="V371" s="172" t="str">
        <f>IFERROR(VLOOKUP(N371,TD!$B$54:$F$58,3,0)," ")</f>
        <v>4503</v>
      </c>
      <c r="W371" s="172">
        <f>IFERROR(VLOOKUP(N371,TD!$B$54:$F$58,4,0)," ")</f>
        <v>20240255</v>
      </c>
      <c r="X371" s="171" t="s">
        <v>166</v>
      </c>
      <c r="Y371" s="172" t="str">
        <f>IFERROR(VLOOKUP(X371,TD!$J$55:$K$68,2,0)," ")</f>
        <v>Servicio de capacitaciones en gestión del riesgo de incendios  a la ciudadania.</v>
      </c>
      <c r="Z371" s="168" t="str">
        <f>CONCATENATE(X371,"-",Y371)</f>
        <v>05-Servicio de capacitaciones en gestión del riesgo de incendios  a la ciudadania.</v>
      </c>
      <c r="AA371" s="171" t="s">
        <v>223</v>
      </c>
      <c r="AB371" s="172" t="str">
        <f>IFERROR(VLOOKUP(AA371,TD!$N$55:$O$70,2,0)," ")</f>
        <v>Servicio prevención y control de incendios</v>
      </c>
      <c r="AC371" s="168" t="str">
        <f>CONCATENATE(AA371,"_",AB371)</f>
        <v>035_Servicio prevención y control de incendios</v>
      </c>
      <c r="AD371" s="168" t="str">
        <f>CONCATENATE(Z371," ",AC371)</f>
        <v>05-Servicio de capacitaciones en gestión del riesgo de incendios  a la ciudadania. 035_Servicio prevención y control de incendios</v>
      </c>
      <c r="AE371" s="172" t="str">
        <f>CONCATENATE(U371,V371,W371,X371,AA371)</f>
        <v>O23011745032024025505035</v>
      </c>
      <c r="AF371" s="172" t="str">
        <f>IFERROR(VLOOKUP(AD371,TD!$J$70:$K$93,2,0)," ")</f>
        <v>PM/0131/0105/45030350255</v>
      </c>
      <c r="AG371" s="114" t="s">
        <v>385</v>
      </c>
      <c r="AH371" s="171" t="s">
        <v>193</v>
      </c>
      <c r="AI371" s="173" t="str">
        <f>CONCATENATE(PAA[[#This Row],[Id Interno]],"-",PAA[[#This Row],[tipo de Contrato (TH talento humano - B/S bienes y/o servicios)]],"-",S371,"-",T371,"-",PAA[[#This Row],[Objeto de la contratación]])</f>
        <v>20260337-TH-8173-1--Prestar servicios profesionales en la gestión misional mediante el  análisis y seguimiento financiero de la Subdirección de Gestión del Riesgo_SGR</v>
      </c>
    </row>
    <row r="372" spans="2:35" ht="56" x14ac:dyDescent="0.35">
      <c r="B372" s="23">
        <v>20260338</v>
      </c>
      <c r="C372" s="97" t="s">
        <v>512</v>
      </c>
      <c r="D372" s="23" t="s">
        <v>105</v>
      </c>
      <c r="E372" s="23" t="s">
        <v>363</v>
      </c>
      <c r="F372" s="163" t="s">
        <v>144</v>
      </c>
      <c r="G372" s="164" t="s">
        <v>373</v>
      </c>
      <c r="H372" s="165">
        <v>10</v>
      </c>
      <c r="I372" s="165">
        <v>0</v>
      </c>
      <c r="J372" s="122">
        <v>70000000</v>
      </c>
      <c r="K372" s="88" t="s">
        <v>398</v>
      </c>
      <c r="L372" s="163" t="s">
        <v>156</v>
      </c>
      <c r="M372" s="166" t="s">
        <v>484</v>
      </c>
      <c r="N372" s="23" t="s">
        <v>198</v>
      </c>
      <c r="O372" s="144" t="s">
        <v>887</v>
      </c>
      <c r="P372" s="163" t="s">
        <v>348</v>
      </c>
      <c r="Q372" s="53">
        <v>80111600</v>
      </c>
      <c r="R372" s="166" t="s">
        <v>210</v>
      </c>
      <c r="S372" s="166" t="str">
        <f>MID(PAA[[#This Row],[Meta Proyecto de Inversión]],1,4)</f>
        <v>8173</v>
      </c>
      <c r="T372" s="166" t="str">
        <f>MID(PAA[[#This Row],[Meta Proyecto de Inversión]],6,2)</f>
        <v>1-</v>
      </c>
      <c r="U372" s="167" t="str">
        <f>IFERROR(VLOOKUP(N372,TD!$B$54:$F$58,2,0)," ")</f>
        <v>O230117</v>
      </c>
      <c r="V372" s="167" t="str">
        <f>IFERROR(VLOOKUP(N372,TD!$B$54:$F$58,3,0)," ")</f>
        <v>4503</v>
      </c>
      <c r="W372" s="167">
        <f>IFERROR(VLOOKUP(N372,TD!$B$54:$F$58,4,0)," ")</f>
        <v>20240255</v>
      </c>
      <c r="X372" s="166" t="s">
        <v>166</v>
      </c>
      <c r="Y372" s="167" t="str">
        <f>IFERROR(VLOOKUP(X372,TD!$J$55:$K$68,2,0)," ")</f>
        <v>Servicio de capacitaciones en gestión del riesgo de incendios  a la ciudadania.</v>
      </c>
      <c r="Z372" s="168" t="str">
        <f>CONCATENATE(X372,"-",Y372)</f>
        <v>05-Servicio de capacitaciones en gestión del riesgo de incendios  a la ciudadania.</v>
      </c>
      <c r="AA372" s="166" t="s">
        <v>223</v>
      </c>
      <c r="AB372" s="167" t="str">
        <f>IFERROR(VLOOKUP(AA372,TD!$N$55:$O$70,2,0)," ")</f>
        <v>Servicio prevención y control de incendios</v>
      </c>
      <c r="AC372" s="168" t="str">
        <f>CONCATENATE(AA372,"_",AB372)</f>
        <v>035_Servicio prevención y control de incendios</v>
      </c>
      <c r="AD372" s="168" t="str">
        <f>CONCATENATE(Z372," ",AC372)</f>
        <v>05-Servicio de capacitaciones en gestión del riesgo de incendios  a la ciudadania. 035_Servicio prevención y control de incendios</v>
      </c>
      <c r="AE372" s="167" t="str">
        <f>CONCATENATE(U372,V372,W372,X372,AA372)</f>
        <v>O23011745032024025505035</v>
      </c>
      <c r="AF372" s="167" t="str">
        <f>IFERROR(VLOOKUP(AD372,TD!$J$70:$K$93,2,0)," ")</f>
        <v>PM/0131/0105/45030350255</v>
      </c>
      <c r="AG372" s="114" t="s">
        <v>385</v>
      </c>
      <c r="AH372" s="166" t="s">
        <v>193</v>
      </c>
      <c r="AI372" s="169" t="str">
        <f>CONCATENATE(PAA[[#This Row],[Id Interno]],"-",PAA[[#This Row],[tipo de Contrato (TH talento humano - B/S bienes y/o servicios)]],"-",S372,"-",T372,"-",PAA[[#This Row],[Objeto de la contratación]])</f>
        <v>20260338-TH-8173-1--Prestar servicios profesionales para la gestión misional  mediante la estructuración y seguimiento de procesos contractuales y asuntos jurídicos de la Subdirección de Gestión del Riesgo_SGR</v>
      </c>
    </row>
    <row r="373" spans="2:35" ht="56" x14ac:dyDescent="0.35">
      <c r="B373" s="23">
        <v>20260340</v>
      </c>
      <c r="C373" s="97" t="s">
        <v>513</v>
      </c>
      <c r="D373" s="23" t="s">
        <v>105</v>
      </c>
      <c r="E373" s="23" t="s">
        <v>363</v>
      </c>
      <c r="F373" s="163" t="s">
        <v>144</v>
      </c>
      <c r="G373" s="164" t="s">
        <v>373</v>
      </c>
      <c r="H373" s="165">
        <v>10</v>
      </c>
      <c r="I373" s="165">
        <v>0</v>
      </c>
      <c r="J373" s="122">
        <v>70000000</v>
      </c>
      <c r="K373" s="88" t="s">
        <v>398</v>
      </c>
      <c r="L373" s="163" t="s">
        <v>156</v>
      </c>
      <c r="M373" s="166" t="s">
        <v>484</v>
      </c>
      <c r="N373" s="23" t="s">
        <v>198</v>
      </c>
      <c r="O373" s="144" t="s">
        <v>887</v>
      </c>
      <c r="P373" s="163" t="s">
        <v>348</v>
      </c>
      <c r="Q373" s="53">
        <v>80111600</v>
      </c>
      <c r="R373" s="166" t="s">
        <v>210</v>
      </c>
      <c r="S373" s="166" t="str">
        <f>MID(PAA[[#This Row],[Meta Proyecto de Inversión]],1,4)</f>
        <v>8173</v>
      </c>
      <c r="T373" s="166" t="str">
        <f>MID(PAA[[#This Row],[Meta Proyecto de Inversión]],6,2)</f>
        <v>1-</v>
      </c>
      <c r="U373" s="167" t="str">
        <f>IFERROR(VLOOKUP(N373,TD!$B$54:$F$58,2,0)," ")</f>
        <v>O230117</v>
      </c>
      <c r="V373" s="167" t="str">
        <f>IFERROR(VLOOKUP(N373,TD!$B$54:$F$58,3,0)," ")</f>
        <v>4503</v>
      </c>
      <c r="W373" s="167">
        <f>IFERROR(VLOOKUP(N373,TD!$B$54:$F$58,4,0)," ")</f>
        <v>20240255</v>
      </c>
      <c r="X373" s="166" t="s">
        <v>166</v>
      </c>
      <c r="Y373" s="167" t="str">
        <f>IFERROR(VLOOKUP(X373,TD!$J$55:$K$68,2,0)," ")</f>
        <v>Servicio de capacitaciones en gestión del riesgo de incendios  a la ciudadania.</v>
      </c>
      <c r="Z373" s="168" t="str">
        <f>CONCATENATE(X373,"-",Y373)</f>
        <v>05-Servicio de capacitaciones en gestión del riesgo de incendios  a la ciudadania.</v>
      </c>
      <c r="AA373" s="166" t="s">
        <v>223</v>
      </c>
      <c r="AB373" s="167" t="str">
        <f>IFERROR(VLOOKUP(AA373,TD!$N$55:$O$70,2,0)," ")</f>
        <v>Servicio prevención y control de incendios</v>
      </c>
      <c r="AC373" s="168" t="str">
        <f>CONCATENATE(AA373,"_",AB373)</f>
        <v>035_Servicio prevención y control de incendios</v>
      </c>
      <c r="AD373" s="168" t="str">
        <f>CONCATENATE(Z373," ",AC373)</f>
        <v>05-Servicio de capacitaciones en gestión del riesgo de incendios  a la ciudadania. 035_Servicio prevención y control de incendios</v>
      </c>
      <c r="AE373" s="167" t="str">
        <f>CONCATENATE(U373,V373,W373,X373,AA373)</f>
        <v>O23011745032024025505035</v>
      </c>
      <c r="AF373" s="167" t="str">
        <f>IFERROR(VLOOKUP(AD373,TD!$J$70:$K$93,2,0)," ")</f>
        <v>PM/0131/0105/45030350255</v>
      </c>
      <c r="AG373" s="114" t="s">
        <v>385</v>
      </c>
      <c r="AH373" s="166" t="s">
        <v>193</v>
      </c>
      <c r="AI373" s="169" t="str">
        <f>CONCATENATE(PAA[[#This Row],[Id Interno]],"-",PAA[[#This Row],[tipo de Contrato (TH talento humano - B/S bienes y/o servicios)]],"-",S373,"-",T373,"-",PAA[[#This Row],[Objeto de la contratación]])</f>
        <v xml:space="preserve">20260340-TH-8173-1--Prestar servicios profesionales para la gestión misional en sus componentes técnico, administrativo y financiero de la Subdirección de Gestión del Riesgo_SGR. </v>
      </c>
    </row>
    <row r="374" spans="2:35" ht="56" x14ac:dyDescent="0.35">
      <c r="B374" s="23">
        <v>20260341</v>
      </c>
      <c r="C374" s="97" t="s">
        <v>514</v>
      </c>
      <c r="D374" s="23" t="s">
        <v>105</v>
      </c>
      <c r="E374" s="23" t="s">
        <v>363</v>
      </c>
      <c r="F374" s="163" t="s">
        <v>144</v>
      </c>
      <c r="G374" s="164" t="s">
        <v>373</v>
      </c>
      <c r="H374" s="165">
        <v>8</v>
      </c>
      <c r="I374" s="165">
        <v>0</v>
      </c>
      <c r="J374" s="122">
        <v>72800000</v>
      </c>
      <c r="K374" s="88" t="s">
        <v>398</v>
      </c>
      <c r="L374" s="163" t="s">
        <v>156</v>
      </c>
      <c r="M374" s="166" t="s">
        <v>484</v>
      </c>
      <c r="N374" s="23" t="s">
        <v>198</v>
      </c>
      <c r="O374" s="144" t="s">
        <v>887</v>
      </c>
      <c r="P374" s="163" t="s">
        <v>348</v>
      </c>
      <c r="Q374" s="53">
        <v>80111600</v>
      </c>
      <c r="R374" s="166" t="s">
        <v>210</v>
      </c>
      <c r="S374" s="166" t="str">
        <f>MID(PAA[[#This Row],[Meta Proyecto de Inversión]],1,4)</f>
        <v>8173</v>
      </c>
      <c r="T374" s="166" t="str">
        <f>MID(PAA[[#This Row],[Meta Proyecto de Inversión]],6,2)</f>
        <v>1-</v>
      </c>
      <c r="U374" s="167" t="str">
        <f>IFERROR(VLOOKUP(N374,TD!$B$54:$F$58,2,0)," ")</f>
        <v>O230117</v>
      </c>
      <c r="V374" s="167" t="str">
        <f>IFERROR(VLOOKUP(N374,TD!$B$54:$F$58,3,0)," ")</f>
        <v>4503</v>
      </c>
      <c r="W374" s="167">
        <f>IFERROR(VLOOKUP(N374,TD!$B$54:$F$58,4,0)," ")</f>
        <v>20240255</v>
      </c>
      <c r="X374" s="166" t="s">
        <v>170</v>
      </c>
      <c r="Y374" s="167" t="str">
        <f>IFERROR(VLOOKUP(X374,TD!$J$55:$K$68,2,0)," ")</f>
        <v>Servicio de inspecciones técnicas realizadas</v>
      </c>
      <c r="Z374" s="168" t="str">
        <f>CONCATENATE(X374,"-",Y374)</f>
        <v>06-Servicio de inspecciones técnicas realizadas</v>
      </c>
      <c r="AA374" s="166" t="s">
        <v>223</v>
      </c>
      <c r="AB374" s="167" t="str">
        <f>IFERROR(VLOOKUP(AA374,TD!$N$55:$O$70,2,0)," ")</f>
        <v>Servicio prevención y control de incendios</v>
      </c>
      <c r="AC374" s="168" t="str">
        <f>CONCATENATE(AA374,"_",AB374)</f>
        <v>035_Servicio prevención y control de incendios</v>
      </c>
      <c r="AD374" s="168" t="str">
        <f>CONCATENATE(Z374," ",AC374)</f>
        <v>06-Servicio de inspecciones técnicas realizadas 035_Servicio prevención y control de incendios</v>
      </c>
      <c r="AE374" s="167" t="str">
        <f>CONCATENATE(U374,V374,W374,X374,AA374)</f>
        <v>O23011745032024025506035</v>
      </c>
      <c r="AF374" s="167" t="str">
        <f>IFERROR(VLOOKUP(AD374,TD!$J$70:$K$93,2,0)," ")</f>
        <v>PM/0131/0106/45030350255</v>
      </c>
      <c r="AG374" s="114" t="s">
        <v>385</v>
      </c>
      <c r="AH374" s="166" t="s">
        <v>193</v>
      </c>
      <c r="AI374" s="169" t="str">
        <f>CONCATENATE(PAA[[#This Row],[Id Interno]],"-",PAA[[#This Row],[tipo de Contrato (TH talento humano - B/S bienes y/o servicios)]],"-",S374,"-",T374,"-",PAA[[#This Row],[Objeto de la contratación]])</f>
        <v>20260341-TH-8173-1--Prestar servicios profesionales  liderando las actividades del proceso de inspecciones técnicas de la subdireccion de gestion del riesgo.._SGR</v>
      </c>
    </row>
    <row r="375" spans="2:35" ht="56" customHeight="1" x14ac:dyDescent="0.35">
      <c r="B375" s="97">
        <v>20260342</v>
      </c>
      <c r="C375" s="97" t="s">
        <v>515</v>
      </c>
      <c r="D375" s="97" t="s">
        <v>105</v>
      </c>
      <c r="E375" s="97" t="s">
        <v>363</v>
      </c>
      <c r="F375" s="164" t="s">
        <v>144</v>
      </c>
      <c r="G375" s="164" t="s">
        <v>373</v>
      </c>
      <c r="H375" s="170">
        <v>10</v>
      </c>
      <c r="I375" s="170">
        <v>0</v>
      </c>
      <c r="J375" s="114">
        <v>40000000</v>
      </c>
      <c r="K375" s="121" t="s">
        <v>398</v>
      </c>
      <c r="L375" s="164" t="s">
        <v>156</v>
      </c>
      <c r="M375" s="171" t="s">
        <v>484</v>
      </c>
      <c r="N375" s="97" t="s">
        <v>198</v>
      </c>
      <c r="O375" s="144" t="s">
        <v>887</v>
      </c>
      <c r="P375" s="164" t="s">
        <v>348</v>
      </c>
      <c r="Q375" s="123">
        <v>80111600</v>
      </c>
      <c r="R375" s="171" t="s">
        <v>210</v>
      </c>
      <c r="S375" s="168" t="str">
        <f>MID(PAA[[#This Row],[Meta Proyecto de Inversión]],1,4)</f>
        <v>8173</v>
      </c>
      <c r="T375" s="168" t="str">
        <f>MID(PAA[[#This Row],[Meta Proyecto de Inversión]],6,2)</f>
        <v>1-</v>
      </c>
      <c r="U375" s="172" t="str">
        <f>IFERROR(VLOOKUP(N375,TD!$B$54:$F$58,2,0)," ")</f>
        <v>O230117</v>
      </c>
      <c r="V375" s="172" t="str">
        <f>IFERROR(VLOOKUP(N375,TD!$B$54:$F$58,3,0)," ")</f>
        <v>4503</v>
      </c>
      <c r="W375" s="172">
        <f>IFERROR(VLOOKUP(N375,TD!$B$54:$F$58,4,0)," ")</f>
        <v>20240255</v>
      </c>
      <c r="X375" s="171" t="s">
        <v>170</v>
      </c>
      <c r="Y375" s="172" t="str">
        <f>IFERROR(VLOOKUP(X375,TD!$J$55:$K$68,2,0)," ")</f>
        <v>Servicio de inspecciones técnicas realizadas</v>
      </c>
      <c r="Z375" s="168" t="str">
        <f>CONCATENATE(X375,"-",Y375)</f>
        <v>06-Servicio de inspecciones técnicas realizadas</v>
      </c>
      <c r="AA375" s="171" t="s">
        <v>223</v>
      </c>
      <c r="AB375" s="172" t="str">
        <f>IFERROR(VLOOKUP(AA375,TD!$N$55:$O$70,2,0)," ")</f>
        <v>Servicio prevención y control de incendios</v>
      </c>
      <c r="AC375" s="168" t="str">
        <f>CONCATENATE(AA375,"_",AB375)</f>
        <v>035_Servicio prevención y control de incendios</v>
      </c>
      <c r="AD375" s="168" t="str">
        <f>CONCATENATE(Z375," ",AC375)</f>
        <v>06-Servicio de inspecciones técnicas realizadas 035_Servicio prevención y control de incendios</v>
      </c>
      <c r="AE375" s="172" t="str">
        <f>CONCATENATE(U375,V375,W375,X375,AA375)</f>
        <v>O23011745032024025506035</v>
      </c>
      <c r="AF375" s="172" t="str">
        <f>IFERROR(VLOOKUP(AD375,TD!$J$70:$K$93,2,0)," ")</f>
        <v>PM/0131/0106/45030350255</v>
      </c>
      <c r="AG375" s="114" t="s">
        <v>385</v>
      </c>
      <c r="AH375" s="171" t="s">
        <v>193</v>
      </c>
      <c r="AI375" s="173" t="str">
        <f>CONCATENATE(PAA[[#This Row],[Id Interno]],"-",PAA[[#This Row],[tipo de Contrato (TH talento humano - B/S bienes y/o servicios)]],"-",S375,"-",T375,"-",PAA[[#This Row],[Objeto de la contratación]])</f>
        <v>20260342-TH-8173-1--Prestar  servicios profesionales en las actividades relacionadas con la emision de conceptos a cargo de la Subdirección de Gestión del Riesgo._SGR</v>
      </c>
    </row>
    <row r="376" spans="2:35" ht="56" x14ac:dyDescent="0.35">
      <c r="B376" s="97">
        <v>20260343</v>
      </c>
      <c r="C376" s="97" t="s">
        <v>515</v>
      </c>
      <c r="D376" s="97" t="s">
        <v>105</v>
      </c>
      <c r="E376" s="97" t="s">
        <v>363</v>
      </c>
      <c r="F376" s="164" t="s">
        <v>144</v>
      </c>
      <c r="G376" s="164" t="s">
        <v>373</v>
      </c>
      <c r="H376" s="170">
        <v>9</v>
      </c>
      <c r="I376" s="170">
        <v>0</v>
      </c>
      <c r="J376" s="114">
        <v>40000000</v>
      </c>
      <c r="K376" s="121" t="s">
        <v>398</v>
      </c>
      <c r="L376" s="164" t="s">
        <v>156</v>
      </c>
      <c r="M376" s="171" t="s">
        <v>484</v>
      </c>
      <c r="N376" s="97" t="s">
        <v>198</v>
      </c>
      <c r="O376" s="144" t="s">
        <v>887</v>
      </c>
      <c r="P376" s="164" t="s">
        <v>348</v>
      </c>
      <c r="Q376" s="123">
        <v>80111600</v>
      </c>
      <c r="R376" s="171" t="s">
        <v>210</v>
      </c>
      <c r="S376" s="168" t="str">
        <f>MID(PAA[[#This Row],[Meta Proyecto de Inversión]],1,4)</f>
        <v>8173</v>
      </c>
      <c r="T376" s="168" t="str">
        <f>MID(PAA[[#This Row],[Meta Proyecto de Inversión]],6,2)</f>
        <v>1-</v>
      </c>
      <c r="U376" s="172" t="str">
        <f>IFERROR(VLOOKUP(N376,TD!$B$54:$F$58,2,0)," ")</f>
        <v>O230117</v>
      </c>
      <c r="V376" s="172" t="str">
        <f>IFERROR(VLOOKUP(N376,TD!$B$54:$F$58,3,0)," ")</f>
        <v>4503</v>
      </c>
      <c r="W376" s="172">
        <f>IFERROR(VLOOKUP(N376,TD!$B$54:$F$58,4,0)," ")</f>
        <v>20240255</v>
      </c>
      <c r="X376" s="171" t="s">
        <v>170</v>
      </c>
      <c r="Y376" s="172" t="str">
        <f>IFERROR(VLOOKUP(X376,TD!$J$55:$K$68,2,0)," ")</f>
        <v>Servicio de inspecciones técnicas realizadas</v>
      </c>
      <c r="Z376" s="168" t="str">
        <f>CONCATENATE(X376,"-",Y376)</f>
        <v>06-Servicio de inspecciones técnicas realizadas</v>
      </c>
      <c r="AA376" s="171" t="s">
        <v>223</v>
      </c>
      <c r="AB376" s="172" t="str">
        <f>IFERROR(VLOOKUP(AA376,TD!$N$55:$O$70,2,0)," ")</f>
        <v>Servicio prevención y control de incendios</v>
      </c>
      <c r="AC376" s="168" t="str">
        <f>CONCATENATE(AA376,"_",AB376)</f>
        <v>035_Servicio prevención y control de incendios</v>
      </c>
      <c r="AD376" s="168" t="str">
        <f>CONCATENATE(Z376," ",AC376)</f>
        <v>06-Servicio de inspecciones técnicas realizadas 035_Servicio prevención y control de incendios</v>
      </c>
      <c r="AE376" s="172" t="str">
        <f>CONCATENATE(U376,V376,W376,X376,AA376)</f>
        <v>O23011745032024025506035</v>
      </c>
      <c r="AF376" s="172" t="str">
        <f>IFERROR(VLOOKUP(AD376,TD!$J$70:$K$93,2,0)," ")</f>
        <v>PM/0131/0106/45030350255</v>
      </c>
      <c r="AG376" s="114" t="s">
        <v>385</v>
      </c>
      <c r="AH376" s="171" t="s">
        <v>193</v>
      </c>
      <c r="AI376" s="173" t="str">
        <f>CONCATENATE(PAA[[#This Row],[Id Interno]],"-",PAA[[#This Row],[tipo de Contrato (TH talento humano - B/S bienes y/o servicios)]],"-",S376,"-",T376,"-",PAA[[#This Row],[Objeto de la contratación]])</f>
        <v>20260343-TH-8173-1--Prestar  servicios profesionales en las actividades relacionadas con la emision de conceptos a cargo de la Subdirección de Gestión del Riesgo._SGR</v>
      </c>
    </row>
    <row r="377" spans="2:35" ht="56" x14ac:dyDescent="0.35">
      <c r="B377" s="97">
        <v>20260344</v>
      </c>
      <c r="C377" s="97" t="s">
        <v>516</v>
      </c>
      <c r="D377" s="97" t="s">
        <v>105</v>
      </c>
      <c r="E377" s="97" t="s">
        <v>363</v>
      </c>
      <c r="F377" s="164" t="s">
        <v>144</v>
      </c>
      <c r="G377" s="164" t="s">
        <v>373</v>
      </c>
      <c r="H377" s="170">
        <v>8</v>
      </c>
      <c r="I377" s="170">
        <v>0</v>
      </c>
      <c r="J377" s="114">
        <v>42000000</v>
      </c>
      <c r="K377" s="121" t="s">
        <v>398</v>
      </c>
      <c r="L377" s="164" t="s">
        <v>156</v>
      </c>
      <c r="M377" s="171" t="s">
        <v>484</v>
      </c>
      <c r="N377" s="97" t="s">
        <v>198</v>
      </c>
      <c r="O377" s="144" t="s">
        <v>887</v>
      </c>
      <c r="P377" s="164" t="s">
        <v>348</v>
      </c>
      <c r="Q377" s="123">
        <v>80111600</v>
      </c>
      <c r="R377" s="171" t="s">
        <v>210</v>
      </c>
      <c r="S377" s="168" t="str">
        <f>MID(PAA[[#This Row],[Meta Proyecto de Inversión]],1,4)</f>
        <v>8173</v>
      </c>
      <c r="T377" s="168" t="str">
        <f>MID(PAA[[#This Row],[Meta Proyecto de Inversión]],6,2)</f>
        <v>1-</v>
      </c>
      <c r="U377" s="172" t="str">
        <f>IFERROR(VLOOKUP(N377,TD!$B$54:$F$58,2,0)," ")</f>
        <v>O230117</v>
      </c>
      <c r="V377" s="172" t="str">
        <f>IFERROR(VLOOKUP(N377,TD!$B$54:$F$58,3,0)," ")</f>
        <v>4503</v>
      </c>
      <c r="W377" s="172">
        <f>IFERROR(VLOOKUP(N377,TD!$B$54:$F$58,4,0)," ")</f>
        <v>20240255</v>
      </c>
      <c r="X377" s="171" t="s">
        <v>170</v>
      </c>
      <c r="Y377" s="172" t="str">
        <f>IFERROR(VLOOKUP(X377,TD!$J$55:$K$68,2,0)," ")</f>
        <v>Servicio de inspecciones técnicas realizadas</v>
      </c>
      <c r="Z377" s="168" t="str">
        <f>CONCATENATE(X377,"-",Y377)</f>
        <v>06-Servicio de inspecciones técnicas realizadas</v>
      </c>
      <c r="AA377" s="171" t="s">
        <v>223</v>
      </c>
      <c r="AB377" s="172" t="str">
        <f>IFERROR(VLOOKUP(AA377,TD!$N$55:$O$70,2,0)," ")</f>
        <v>Servicio prevención y control de incendios</v>
      </c>
      <c r="AC377" s="168" t="str">
        <f>CONCATENATE(AA377,"_",AB377)</f>
        <v>035_Servicio prevención y control de incendios</v>
      </c>
      <c r="AD377" s="168" t="str">
        <f>CONCATENATE(Z377," ",AC377)</f>
        <v>06-Servicio de inspecciones técnicas realizadas 035_Servicio prevención y control de incendios</v>
      </c>
      <c r="AE377" s="172" t="str">
        <f>CONCATENATE(U377,V377,W377,X377,AA377)</f>
        <v>O23011745032024025506035</v>
      </c>
      <c r="AF377" s="172" t="str">
        <f>IFERROR(VLOOKUP(AD377,TD!$J$70:$K$93,2,0)," ")</f>
        <v>PM/0131/0106/45030350255</v>
      </c>
      <c r="AG377" s="114" t="s">
        <v>385</v>
      </c>
      <c r="AH377" s="171" t="s">
        <v>193</v>
      </c>
      <c r="AI377" s="173" t="str">
        <f>CONCATENATE(PAA[[#This Row],[Id Interno]],"-",PAA[[#This Row],[tipo de Contrato (TH talento humano - B/S bienes y/o servicios)]],"-",S377,"-",T377,"-",PAA[[#This Row],[Objeto de la contratación]])</f>
        <v>20260344-TH-8173-1--Prestarservicios profesionales en las actividades relacionadas con la emision de conceptos a cargo de la Subdirección de Gestión del Riesgo._SGR</v>
      </c>
    </row>
    <row r="378" spans="2:35" ht="56" x14ac:dyDescent="0.35">
      <c r="B378" s="97">
        <v>20260345</v>
      </c>
      <c r="C378" s="97" t="s">
        <v>516</v>
      </c>
      <c r="D378" s="97" t="s">
        <v>105</v>
      </c>
      <c r="E378" s="97" t="s">
        <v>363</v>
      </c>
      <c r="F378" s="164" t="s">
        <v>144</v>
      </c>
      <c r="G378" s="164" t="s">
        <v>373</v>
      </c>
      <c r="H378" s="170">
        <v>8</v>
      </c>
      <c r="I378" s="170">
        <v>0</v>
      </c>
      <c r="J378" s="114">
        <v>42000000</v>
      </c>
      <c r="K378" s="121" t="s">
        <v>398</v>
      </c>
      <c r="L378" s="164" t="s">
        <v>156</v>
      </c>
      <c r="M378" s="171" t="s">
        <v>484</v>
      </c>
      <c r="N378" s="97" t="s">
        <v>198</v>
      </c>
      <c r="O378" s="144" t="s">
        <v>887</v>
      </c>
      <c r="P378" s="164" t="s">
        <v>348</v>
      </c>
      <c r="Q378" s="123">
        <v>80111600</v>
      </c>
      <c r="R378" s="171" t="s">
        <v>210</v>
      </c>
      <c r="S378" s="168" t="str">
        <f>MID(PAA[[#This Row],[Meta Proyecto de Inversión]],1,4)</f>
        <v>8173</v>
      </c>
      <c r="T378" s="168" t="str">
        <f>MID(PAA[[#This Row],[Meta Proyecto de Inversión]],6,2)</f>
        <v>1-</v>
      </c>
      <c r="U378" s="172" t="str">
        <f>IFERROR(VLOOKUP(N378,TD!$B$54:$F$58,2,0)," ")</f>
        <v>O230117</v>
      </c>
      <c r="V378" s="172" t="str">
        <f>IFERROR(VLOOKUP(N378,TD!$B$54:$F$58,3,0)," ")</f>
        <v>4503</v>
      </c>
      <c r="W378" s="172">
        <f>IFERROR(VLOOKUP(N378,TD!$B$54:$F$58,4,0)," ")</f>
        <v>20240255</v>
      </c>
      <c r="X378" s="171" t="s">
        <v>170</v>
      </c>
      <c r="Y378" s="172" t="str">
        <f>IFERROR(VLOOKUP(X378,TD!$J$55:$K$68,2,0)," ")</f>
        <v>Servicio de inspecciones técnicas realizadas</v>
      </c>
      <c r="Z378" s="168" t="str">
        <f>CONCATENATE(X378,"-",Y378)</f>
        <v>06-Servicio de inspecciones técnicas realizadas</v>
      </c>
      <c r="AA378" s="171" t="s">
        <v>223</v>
      </c>
      <c r="AB378" s="172" t="str">
        <f>IFERROR(VLOOKUP(AA378,TD!$N$55:$O$70,2,0)," ")</f>
        <v>Servicio prevención y control de incendios</v>
      </c>
      <c r="AC378" s="168" t="str">
        <f>CONCATENATE(AA378,"_",AB378)</f>
        <v>035_Servicio prevención y control de incendios</v>
      </c>
      <c r="AD378" s="168" t="str">
        <f>CONCATENATE(Z378," ",AC378)</f>
        <v>06-Servicio de inspecciones técnicas realizadas 035_Servicio prevención y control de incendios</v>
      </c>
      <c r="AE378" s="172" t="str">
        <f>CONCATENATE(U378,V378,W378,X378,AA378)</f>
        <v>O23011745032024025506035</v>
      </c>
      <c r="AF378" s="172" t="str">
        <f>IFERROR(VLOOKUP(AD378,TD!$J$70:$K$93,2,0)," ")</f>
        <v>PM/0131/0106/45030350255</v>
      </c>
      <c r="AG378" s="114" t="s">
        <v>385</v>
      </c>
      <c r="AH378" s="171" t="s">
        <v>193</v>
      </c>
      <c r="AI378" s="173" t="str">
        <f>CONCATENATE(PAA[[#This Row],[Id Interno]],"-",PAA[[#This Row],[tipo de Contrato (TH talento humano - B/S bienes y/o servicios)]],"-",S378,"-",T378,"-",PAA[[#This Row],[Objeto de la contratación]])</f>
        <v>20260345-TH-8173-1--Prestarservicios profesionales en las actividades relacionadas con la emision de conceptos a cargo de la Subdirección de Gestión del Riesgo._SGR</v>
      </c>
    </row>
    <row r="379" spans="2:35" ht="56" x14ac:dyDescent="0.35">
      <c r="B379" s="23">
        <v>20260346</v>
      </c>
      <c r="C379" s="97" t="s">
        <v>516</v>
      </c>
      <c r="D379" s="23" t="s">
        <v>105</v>
      </c>
      <c r="E379" s="23" t="s">
        <v>363</v>
      </c>
      <c r="F379" s="163" t="s">
        <v>144</v>
      </c>
      <c r="G379" s="164" t="s">
        <v>373</v>
      </c>
      <c r="H379" s="165">
        <v>8</v>
      </c>
      <c r="I379" s="165">
        <v>0</v>
      </c>
      <c r="J379" s="122">
        <v>48000000</v>
      </c>
      <c r="K379" s="88" t="s">
        <v>398</v>
      </c>
      <c r="L379" s="163" t="s">
        <v>156</v>
      </c>
      <c r="M379" s="166" t="s">
        <v>484</v>
      </c>
      <c r="N379" s="23" t="s">
        <v>198</v>
      </c>
      <c r="O379" s="144" t="s">
        <v>887</v>
      </c>
      <c r="P379" s="163" t="s">
        <v>348</v>
      </c>
      <c r="Q379" s="53">
        <v>80111600</v>
      </c>
      <c r="R379" s="166" t="s">
        <v>210</v>
      </c>
      <c r="S379" s="166" t="str">
        <f>MID(PAA[[#This Row],[Meta Proyecto de Inversión]],1,4)</f>
        <v>8173</v>
      </c>
      <c r="T379" s="166" t="str">
        <f>MID(PAA[[#This Row],[Meta Proyecto de Inversión]],6,2)</f>
        <v>1-</v>
      </c>
      <c r="U379" s="167" t="str">
        <f>IFERROR(VLOOKUP(N379,TD!$B$54:$F$58,2,0)," ")</f>
        <v>O230117</v>
      </c>
      <c r="V379" s="167" t="str">
        <f>IFERROR(VLOOKUP(N379,TD!$B$54:$F$58,3,0)," ")</f>
        <v>4503</v>
      </c>
      <c r="W379" s="167">
        <f>IFERROR(VLOOKUP(N379,TD!$B$54:$F$58,4,0)," ")</f>
        <v>20240255</v>
      </c>
      <c r="X379" s="166" t="s">
        <v>170</v>
      </c>
      <c r="Y379" s="167" t="str">
        <f>IFERROR(VLOOKUP(X379,TD!$J$55:$K$68,2,0)," ")</f>
        <v>Servicio de inspecciones técnicas realizadas</v>
      </c>
      <c r="Z379" s="168" t="str">
        <f>CONCATENATE(X379,"-",Y379)</f>
        <v>06-Servicio de inspecciones técnicas realizadas</v>
      </c>
      <c r="AA379" s="166" t="s">
        <v>223</v>
      </c>
      <c r="AB379" s="167" t="str">
        <f>IFERROR(VLOOKUP(AA379,TD!$N$55:$O$70,2,0)," ")</f>
        <v>Servicio prevención y control de incendios</v>
      </c>
      <c r="AC379" s="168" t="str">
        <f>CONCATENATE(AA379,"_",AB379)</f>
        <v>035_Servicio prevención y control de incendios</v>
      </c>
      <c r="AD379" s="168" t="str">
        <f>CONCATENATE(Z379," ",AC379)</f>
        <v>06-Servicio de inspecciones técnicas realizadas 035_Servicio prevención y control de incendios</v>
      </c>
      <c r="AE379" s="167" t="str">
        <f>CONCATENATE(U379,V379,W379,X379,AA379)</f>
        <v>O23011745032024025506035</v>
      </c>
      <c r="AF379" s="167" t="str">
        <f>IFERROR(VLOOKUP(AD379,TD!$J$70:$K$93,2,0)," ")</f>
        <v>PM/0131/0106/45030350255</v>
      </c>
      <c r="AG379" s="114" t="s">
        <v>385</v>
      </c>
      <c r="AH379" s="166" t="s">
        <v>193</v>
      </c>
      <c r="AI379" s="169" t="str">
        <f>CONCATENATE(PAA[[#This Row],[Id Interno]],"-",PAA[[#This Row],[tipo de Contrato (TH talento humano - B/S bienes y/o servicios)]],"-",S379,"-",T379,"-",PAA[[#This Row],[Objeto de la contratación]])</f>
        <v>20260346-TH-8173-1--Prestarservicios profesionales en las actividades relacionadas con la emision de conceptos a cargo de la Subdirección de Gestión del Riesgo._SGR</v>
      </c>
    </row>
    <row r="380" spans="2:35" ht="56" x14ac:dyDescent="0.35">
      <c r="B380" s="97">
        <v>20260347</v>
      </c>
      <c r="C380" s="97" t="s">
        <v>516</v>
      </c>
      <c r="D380" s="97" t="s">
        <v>105</v>
      </c>
      <c r="E380" s="97" t="s">
        <v>363</v>
      </c>
      <c r="F380" s="164" t="s">
        <v>144</v>
      </c>
      <c r="G380" s="164" t="s">
        <v>373</v>
      </c>
      <c r="H380" s="170">
        <v>10</v>
      </c>
      <c r="I380" s="170">
        <v>0</v>
      </c>
      <c r="J380" s="114">
        <v>70000000</v>
      </c>
      <c r="K380" s="121" t="s">
        <v>398</v>
      </c>
      <c r="L380" s="164" t="s">
        <v>156</v>
      </c>
      <c r="M380" s="171" t="s">
        <v>484</v>
      </c>
      <c r="N380" s="97" t="s">
        <v>198</v>
      </c>
      <c r="O380" s="144" t="s">
        <v>887</v>
      </c>
      <c r="P380" s="164" t="s">
        <v>348</v>
      </c>
      <c r="Q380" s="123">
        <v>80111600</v>
      </c>
      <c r="R380" s="171" t="s">
        <v>210</v>
      </c>
      <c r="S380" s="168" t="str">
        <f>MID(PAA[[#This Row],[Meta Proyecto de Inversión]],1,4)</f>
        <v>8173</v>
      </c>
      <c r="T380" s="168" t="str">
        <f>MID(PAA[[#This Row],[Meta Proyecto de Inversión]],6,2)</f>
        <v>1-</v>
      </c>
      <c r="U380" s="172" t="str">
        <f>IFERROR(VLOOKUP(N380,TD!$B$54:$F$58,2,0)," ")</f>
        <v>O230117</v>
      </c>
      <c r="V380" s="172" t="str">
        <f>IFERROR(VLOOKUP(N380,TD!$B$54:$F$58,3,0)," ")</f>
        <v>4503</v>
      </c>
      <c r="W380" s="172">
        <f>IFERROR(VLOOKUP(N380,TD!$B$54:$F$58,4,0)," ")</f>
        <v>20240255</v>
      </c>
      <c r="X380" s="171" t="s">
        <v>170</v>
      </c>
      <c r="Y380" s="172" t="str">
        <f>IFERROR(VLOOKUP(X380,TD!$J$55:$K$68,2,0)," ")</f>
        <v>Servicio de inspecciones técnicas realizadas</v>
      </c>
      <c r="Z380" s="168" t="str">
        <f>CONCATENATE(X380,"-",Y380)</f>
        <v>06-Servicio de inspecciones técnicas realizadas</v>
      </c>
      <c r="AA380" s="171" t="s">
        <v>223</v>
      </c>
      <c r="AB380" s="172" t="str">
        <f>IFERROR(VLOOKUP(AA380,TD!$N$55:$O$70,2,0)," ")</f>
        <v>Servicio prevención y control de incendios</v>
      </c>
      <c r="AC380" s="168" t="str">
        <f>CONCATENATE(AA380,"_",AB380)</f>
        <v>035_Servicio prevención y control de incendios</v>
      </c>
      <c r="AD380" s="168" t="str">
        <f>CONCATENATE(Z380," ",AC380)</f>
        <v>06-Servicio de inspecciones técnicas realizadas 035_Servicio prevención y control de incendios</v>
      </c>
      <c r="AE380" s="172" t="str">
        <f>CONCATENATE(U380,V380,W380,X380,AA380)</f>
        <v>O23011745032024025506035</v>
      </c>
      <c r="AF380" s="172" t="str">
        <f>IFERROR(VLOOKUP(AD380,TD!$J$70:$K$93,2,0)," ")</f>
        <v>PM/0131/0106/45030350255</v>
      </c>
      <c r="AG380" s="114" t="s">
        <v>385</v>
      </c>
      <c r="AH380" s="171" t="s">
        <v>193</v>
      </c>
      <c r="AI380" s="173" t="str">
        <f>CONCATENATE(PAA[[#This Row],[Id Interno]],"-",PAA[[#This Row],[tipo de Contrato (TH talento humano - B/S bienes y/o servicios)]],"-",S380,"-",T380,"-",PAA[[#This Row],[Objeto de la contratación]])</f>
        <v>20260347-TH-8173-1--Prestarservicios profesionales en las actividades relacionadas con la emision de conceptos a cargo de la Subdirección de Gestión del Riesgo._SGR</v>
      </c>
    </row>
    <row r="381" spans="2:35" ht="62.5" customHeight="1" x14ac:dyDescent="0.35">
      <c r="B381" s="23">
        <v>20260348</v>
      </c>
      <c r="C381" s="97" t="s">
        <v>516</v>
      </c>
      <c r="D381" s="23" t="s">
        <v>105</v>
      </c>
      <c r="E381" s="23" t="s">
        <v>363</v>
      </c>
      <c r="F381" s="163" t="s">
        <v>144</v>
      </c>
      <c r="G381" s="164" t="s">
        <v>373</v>
      </c>
      <c r="H381" s="165">
        <v>10</v>
      </c>
      <c r="I381" s="165">
        <v>0</v>
      </c>
      <c r="J381" s="122">
        <v>70000000</v>
      </c>
      <c r="K381" s="88" t="s">
        <v>398</v>
      </c>
      <c r="L381" s="163" t="s">
        <v>156</v>
      </c>
      <c r="M381" s="166" t="s">
        <v>484</v>
      </c>
      <c r="N381" s="23" t="s">
        <v>198</v>
      </c>
      <c r="O381" s="144" t="s">
        <v>887</v>
      </c>
      <c r="P381" s="163" t="s">
        <v>348</v>
      </c>
      <c r="Q381" s="53">
        <v>80111600</v>
      </c>
      <c r="R381" s="166" t="s">
        <v>210</v>
      </c>
      <c r="S381" s="166" t="str">
        <f>MID(PAA[[#This Row],[Meta Proyecto de Inversión]],1,4)</f>
        <v>8173</v>
      </c>
      <c r="T381" s="166" t="str">
        <f>MID(PAA[[#This Row],[Meta Proyecto de Inversión]],6,2)</f>
        <v>1-</v>
      </c>
      <c r="U381" s="167" t="str">
        <f>IFERROR(VLOOKUP(N381,TD!$B$54:$F$58,2,0)," ")</f>
        <v>O230117</v>
      </c>
      <c r="V381" s="167" t="str">
        <f>IFERROR(VLOOKUP(N381,TD!$B$54:$F$58,3,0)," ")</f>
        <v>4503</v>
      </c>
      <c r="W381" s="167">
        <f>IFERROR(VLOOKUP(N381,TD!$B$54:$F$58,4,0)," ")</f>
        <v>20240255</v>
      </c>
      <c r="X381" s="166" t="s">
        <v>170</v>
      </c>
      <c r="Y381" s="167" t="str">
        <f>IFERROR(VLOOKUP(X381,TD!$J$55:$K$68,2,0)," ")</f>
        <v>Servicio de inspecciones técnicas realizadas</v>
      </c>
      <c r="Z381" s="168" t="str">
        <f>CONCATENATE(X381,"-",Y381)</f>
        <v>06-Servicio de inspecciones técnicas realizadas</v>
      </c>
      <c r="AA381" s="166" t="s">
        <v>223</v>
      </c>
      <c r="AB381" s="167" t="str">
        <f>IFERROR(VLOOKUP(AA381,TD!$N$55:$O$70,2,0)," ")</f>
        <v>Servicio prevención y control de incendios</v>
      </c>
      <c r="AC381" s="168" t="str">
        <f>CONCATENATE(AA381,"_",AB381)</f>
        <v>035_Servicio prevención y control de incendios</v>
      </c>
      <c r="AD381" s="168" t="str">
        <f>CONCATENATE(Z381," ",AC381)</f>
        <v>06-Servicio de inspecciones técnicas realizadas 035_Servicio prevención y control de incendios</v>
      </c>
      <c r="AE381" s="167" t="str">
        <f>CONCATENATE(U381,V381,W381,X381,AA381)</f>
        <v>O23011745032024025506035</v>
      </c>
      <c r="AF381" s="167" t="str">
        <f>IFERROR(VLOOKUP(AD381,TD!$J$70:$K$93,2,0)," ")</f>
        <v>PM/0131/0106/45030350255</v>
      </c>
      <c r="AG381" s="114" t="s">
        <v>385</v>
      </c>
      <c r="AH381" s="166" t="s">
        <v>193</v>
      </c>
      <c r="AI381" s="169" t="str">
        <f>CONCATENATE(PAA[[#This Row],[Id Interno]],"-",PAA[[#This Row],[tipo de Contrato (TH talento humano - B/S bienes y/o servicios)]],"-",S381,"-",T381,"-",PAA[[#This Row],[Objeto de la contratación]])</f>
        <v>20260348-TH-8173-1--Prestarservicios profesionales en las actividades relacionadas con la emision de conceptos a cargo de la Subdirección de Gestión del Riesgo._SGR</v>
      </c>
    </row>
    <row r="382" spans="2:35" ht="84" customHeight="1" x14ac:dyDescent="0.35">
      <c r="B382" s="97">
        <v>20260349</v>
      </c>
      <c r="C382" s="97" t="s">
        <v>517</v>
      </c>
      <c r="D382" s="97" t="s">
        <v>105</v>
      </c>
      <c r="E382" s="97" t="s">
        <v>363</v>
      </c>
      <c r="F382" s="164" t="s">
        <v>145</v>
      </c>
      <c r="G382" s="164" t="s">
        <v>373</v>
      </c>
      <c r="H382" s="170">
        <v>10</v>
      </c>
      <c r="I382" s="170">
        <v>0</v>
      </c>
      <c r="J382" s="114">
        <v>44900000</v>
      </c>
      <c r="K382" s="121" t="s">
        <v>398</v>
      </c>
      <c r="L382" s="164" t="s">
        <v>156</v>
      </c>
      <c r="M382" s="171" t="s">
        <v>484</v>
      </c>
      <c r="N382" s="97" t="s">
        <v>198</v>
      </c>
      <c r="O382" s="144" t="s">
        <v>887</v>
      </c>
      <c r="P382" s="164" t="s">
        <v>348</v>
      </c>
      <c r="Q382" s="123">
        <v>80111600</v>
      </c>
      <c r="R382" s="171" t="s">
        <v>210</v>
      </c>
      <c r="S382" s="168" t="str">
        <f>MID(PAA[[#This Row],[Meta Proyecto de Inversión]],1,4)</f>
        <v>8173</v>
      </c>
      <c r="T382" s="168" t="str">
        <f>MID(PAA[[#This Row],[Meta Proyecto de Inversión]],6,2)</f>
        <v>1-</v>
      </c>
      <c r="U382" s="172" t="str">
        <f>IFERROR(VLOOKUP(N382,TD!$B$54:$F$58,2,0)," ")</f>
        <v>O230117</v>
      </c>
      <c r="V382" s="172" t="str">
        <f>IFERROR(VLOOKUP(N382,TD!$B$54:$F$58,3,0)," ")</f>
        <v>4503</v>
      </c>
      <c r="W382" s="172">
        <f>IFERROR(VLOOKUP(N382,TD!$B$54:$F$58,4,0)," ")</f>
        <v>20240255</v>
      </c>
      <c r="X382" s="171" t="s">
        <v>170</v>
      </c>
      <c r="Y382" s="172" t="str">
        <f>IFERROR(VLOOKUP(X382,TD!$J$55:$K$68,2,0)," ")</f>
        <v>Servicio de inspecciones técnicas realizadas</v>
      </c>
      <c r="Z382" s="168" t="str">
        <f>CONCATENATE(X382,"-",Y382)</f>
        <v>06-Servicio de inspecciones técnicas realizadas</v>
      </c>
      <c r="AA382" s="171" t="s">
        <v>223</v>
      </c>
      <c r="AB382" s="172" t="str">
        <f>IFERROR(VLOOKUP(AA382,TD!$N$55:$O$70,2,0)," ")</f>
        <v>Servicio prevención y control de incendios</v>
      </c>
      <c r="AC382" s="168" t="str">
        <f>CONCATENATE(AA382,"_",AB382)</f>
        <v>035_Servicio prevención y control de incendios</v>
      </c>
      <c r="AD382" s="168" t="str">
        <f>CONCATENATE(Z382," ",AC382)</f>
        <v>06-Servicio de inspecciones técnicas realizadas 035_Servicio prevención y control de incendios</v>
      </c>
      <c r="AE382" s="172" t="str">
        <f>CONCATENATE(U382,V382,W382,X382,AA382)</f>
        <v>O23011745032024025506035</v>
      </c>
      <c r="AF382" s="172" t="str">
        <f>IFERROR(VLOOKUP(AD382,TD!$J$70:$K$93,2,0)," ")</f>
        <v>PM/0131/0106/45030350255</v>
      </c>
      <c r="AG382" s="114" t="s">
        <v>385</v>
      </c>
      <c r="AH382" s="171" t="s">
        <v>193</v>
      </c>
      <c r="AI382" s="173" t="str">
        <f>CONCATENATE(PAA[[#This Row],[Id Interno]],"-",PAA[[#This Row],[tipo de Contrato (TH talento humano - B/S bienes y/o servicios)]],"-",S382,"-",T382,"-",PAA[[#This Row],[Objeto de la contratación]])</f>
        <v>20260349-TH-8173-1--Prestar  servicios de apoyo tecnico para realizar las inspecciones relacionadas con la emision de conceptos a cargo de la Subdirección de Gestión del Riesgo._SGR</v>
      </c>
    </row>
    <row r="383" spans="2:35" ht="56" x14ac:dyDescent="0.35">
      <c r="B383" s="23">
        <v>20260350</v>
      </c>
      <c r="C383" s="97" t="s">
        <v>517</v>
      </c>
      <c r="D383" s="23" t="s">
        <v>105</v>
      </c>
      <c r="E383" s="23" t="s">
        <v>363</v>
      </c>
      <c r="F383" s="163" t="s">
        <v>145</v>
      </c>
      <c r="G383" s="164" t="s">
        <v>373</v>
      </c>
      <c r="H383" s="165">
        <v>10</v>
      </c>
      <c r="I383" s="165">
        <v>0</v>
      </c>
      <c r="J383" s="122">
        <v>40000000</v>
      </c>
      <c r="K383" s="88" t="s">
        <v>398</v>
      </c>
      <c r="L383" s="163" t="s">
        <v>156</v>
      </c>
      <c r="M383" s="166" t="s">
        <v>484</v>
      </c>
      <c r="N383" s="23" t="s">
        <v>198</v>
      </c>
      <c r="O383" s="144" t="s">
        <v>887</v>
      </c>
      <c r="P383" s="163" t="s">
        <v>348</v>
      </c>
      <c r="Q383" s="53">
        <v>80111600</v>
      </c>
      <c r="R383" s="166" t="s">
        <v>210</v>
      </c>
      <c r="S383" s="166" t="str">
        <f>MID(PAA[[#This Row],[Meta Proyecto de Inversión]],1,4)</f>
        <v>8173</v>
      </c>
      <c r="T383" s="166" t="str">
        <f>MID(PAA[[#This Row],[Meta Proyecto de Inversión]],6,2)</f>
        <v>1-</v>
      </c>
      <c r="U383" s="167" t="str">
        <f>IFERROR(VLOOKUP(N383,TD!$B$54:$F$58,2,0)," ")</f>
        <v>O230117</v>
      </c>
      <c r="V383" s="167" t="str">
        <f>IFERROR(VLOOKUP(N383,TD!$B$54:$F$58,3,0)," ")</f>
        <v>4503</v>
      </c>
      <c r="W383" s="167">
        <f>IFERROR(VLOOKUP(N383,TD!$B$54:$F$58,4,0)," ")</f>
        <v>20240255</v>
      </c>
      <c r="X383" s="166" t="s">
        <v>170</v>
      </c>
      <c r="Y383" s="167" t="str">
        <f>IFERROR(VLOOKUP(X383,TD!$J$55:$K$68,2,0)," ")</f>
        <v>Servicio de inspecciones técnicas realizadas</v>
      </c>
      <c r="Z383" s="168" t="str">
        <f>CONCATENATE(X383,"-",Y383)</f>
        <v>06-Servicio de inspecciones técnicas realizadas</v>
      </c>
      <c r="AA383" s="166" t="s">
        <v>223</v>
      </c>
      <c r="AB383" s="167" t="str">
        <f>IFERROR(VLOOKUP(AA383,TD!$N$55:$O$70,2,0)," ")</f>
        <v>Servicio prevención y control de incendios</v>
      </c>
      <c r="AC383" s="168" t="str">
        <f>CONCATENATE(AA383,"_",AB383)</f>
        <v>035_Servicio prevención y control de incendios</v>
      </c>
      <c r="AD383" s="168" t="str">
        <f>CONCATENATE(Z383," ",AC383)</f>
        <v>06-Servicio de inspecciones técnicas realizadas 035_Servicio prevención y control de incendios</v>
      </c>
      <c r="AE383" s="167" t="str">
        <f>CONCATENATE(U383,V383,W383,X383,AA383)</f>
        <v>O23011745032024025506035</v>
      </c>
      <c r="AF383" s="167" t="str">
        <f>IFERROR(VLOOKUP(AD383,TD!$J$70:$K$93,2,0)," ")</f>
        <v>PM/0131/0106/45030350255</v>
      </c>
      <c r="AG383" s="114" t="s">
        <v>385</v>
      </c>
      <c r="AH383" s="166" t="s">
        <v>193</v>
      </c>
      <c r="AI383" s="169" t="str">
        <f>CONCATENATE(PAA[[#This Row],[Id Interno]],"-",PAA[[#This Row],[tipo de Contrato (TH talento humano - B/S bienes y/o servicios)]],"-",S383,"-",T383,"-",PAA[[#This Row],[Objeto de la contratación]])</f>
        <v>20260350-TH-8173-1--Prestar  servicios de apoyo tecnico para realizar las inspecciones relacionadas con la emision de conceptos a cargo de la Subdirección de Gestión del Riesgo._SGR</v>
      </c>
    </row>
    <row r="384" spans="2:35" ht="56" x14ac:dyDescent="0.35">
      <c r="B384" s="23">
        <v>20260351</v>
      </c>
      <c r="C384" s="97" t="s">
        <v>517</v>
      </c>
      <c r="D384" s="23" t="s">
        <v>105</v>
      </c>
      <c r="E384" s="23" t="s">
        <v>363</v>
      </c>
      <c r="F384" s="163" t="s">
        <v>145</v>
      </c>
      <c r="G384" s="164" t="s">
        <v>373</v>
      </c>
      <c r="H384" s="165">
        <v>10</v>
      </c>
      <c r="I384" s="165">
        <v>0</v>
      </c>
      <c r="J384" s="122">
        <v>40000000</v>
      </c>
      <c r="K384" s="88" t="s">
        <v>398</v>
      </c>
      <c r="L384" s="163" t="s">
        <v>156</v>
      </c>
      <c r="M384" s="166" t="s">
        <v>484</v>
      </c>
      <c r="N384" s="23" t="s">
        <v>198</v>
      </c>
      <c r="O384" s="144" t="s">
        <v>887</v>
      </c>
      <c r="P384" s="163" t="s">
        <v>348</v>
      </c>
      <c r="Q384" s="53">
        <v>80111600</v>
      </c>
      <c r="R384" s="166" t="s">
        <v>210</v>
      </c>
      <c r="S384" s="166" t="str">
        <f>MID(PAA[[#This Row],[Meta Proyecto de Inversión]],1,4)</f>
        <v>8173</v>
      </c>
      <c r="T384" s="166" t="str">
        <f>MID(PAA[[#This Row],[Meta Proyecto de Inversión]],6,2)</f>
        <v>1-</v>
      </c>
      <c r="U384" s="167" t="str">
        <f>IFERROR(VLOOKUP(N384,TD!$B$54:$F$58,2,0)," ")</f>
        <v>O230117</v>
      </c>
      <c r="V384" s="167" t="str">
        <f>IFERROR(VLOOKUP(N384,TD!$B$54:$F$58,3,0)," ")</f>
        <v>4503</v>
      </c>
      <c r="W384" s="167">
        <f>IFERROR(VLOOKUP(N384,TD!$B$54:$F$58,4,0)," ")</f>
        <v>20240255</v>
      </c>
      <c r="X384" s="166" t="s">
        <v>170</v>
      </c>
      <c r="Y384" s="167" t="str">
        <f>IFERROR(VLOOKUP(X384,TD!$J$55:$K$68,2,0)," ")</f>
        <v>Servicio de inspecciones técnicas realizadas</v>
      </c>
      <c r="Z384" s="168" t="str">
        <f>CONCATENATE(X384,"-",Y384)</f>
        <v>06-Servicio de inspecciones técnicas realizadas</v>
      </c>
      <c r="AA384" s="166" t="s">
        <v>223</v>
      </c>
      <c r="AB384" s="167" t="str">
        <f>IFERROR(VLOOKUP(AA384,TD!$N$55:$O$70,2,0)," ")</f>
        <v>Servicio prevención y control de incendios</v>
      </c>
      <c r="AC384" s="168" t="str">
        <f>CONCATENATE(AA384,"_",AB384)</f>
        <v>035_Servicio prevención y control de incendios</v>
      </c>
      <c r="AD384" s="168" t="str">
        <f>CONCATENATE(Z384," ",AC384)</f>
        <v>06-Servicio de inspecciones técnicas realizadas 035_Servicio prevención y control de incendios</v>
      </c>
      <c r="AE384" s="167" t="str">
        <f>CONCATENATE(U384,V384,W384,X384,AA384)</f>
        <v>O23011745032024025506035</v>
      </c>
      <c r="AF384" s="167" t="str">
        <f>IFERROR(VLOOKUP(AD384,TD!$J$70:$K$93,2,0)," ")</f>
        <v>PM/0131/0106/45030350255</v>
      </c>
      <c r="AG384" s="114" t="s">
        <v>385</v>
      </c>
      <c r="AH384" s="166" t="s">
        <v>193</v>
      </c>
      <c r="AI384" s="169" t="str">
        <f>CONCATENATE(PAA[[#This Row],[Id Interno]],"-",PAA[[#This Row],[tipo de Contrato (TH talento humano - B/S bienes y/o servicios)]],"-",S384,"-",T384,"-",PAA[[#This Row],[Objeto de la contratación]])</f>
        <v>20260351-TH-8173-1--Prestar  servicios de apoyo tecnico para realizar las inspecciones relacionadas con la emision de conceptos a cargo de la Subdirección de Gestión del Riesgo._SGR</v>
      </c>
    </row>
    <row r="385" spans="2:35" ht="56" x14ac:dyDescent="0.35">
      <c r="B385" s="97">
        <v>20260352</v>
      </c>
      <c r="C385" s="97" t="s">
        <v>517</v>
      </c>
      <c r="D385" s="97" t="s">
        <v>105</v>
      </c>
      <c r="E385" s="97" t="s">
        <v>363</v>
      </c>
      <c r="F385" s="164" t="s">
        <v>145</v>
      </c>
      <c r="G385" s="164" t="s">
        <v>373</v>
      </c>
      <c r="H385" s="170">
        <v>10</v>
      </c>
      <c r="I385" s="170">
        <v>0</v>
      </c>
      <c r="J385" s="114">
        <v>32000000</v>
      </c>
      <c r="K385" s="121" t="s">
        <v>398</v>
      </c>
      <c r="L385" s="164" t="s">
        <v>156</v>
      </c>
      <c r="M385" s="171" t="s">
        <v>484</v>
      </c>
      <c r="N385" s="97" t="s">
        <v>198</v>
      </c>
      <c r="O385" s="144" t="s">
        <v>887</v>
      </c>
      <c r="P385" s="164" t="s">
        <v>348</v>
      </c>
      <c r="Q385" s="123">
        <v>80111600</v>
      </c>
      <c r="R385" s="171" t="s">
        <v>210</v>
      </c>
      <c r="S385" s="168" t="str">
        <f>MID(PAA[[#This Row],[Meta Proyecto de Inversión]],1,4)</f>
        <v>8173</v>
      </c>
      <c r="T385" s="168" t="str">
        <f>MID(PAA[[#This Row],[Meta Proyecto de Inversión]],6,2)</f>
        <v>1-</v>
      </c>
      <c r="U385" s="172" t="str">
        <f>IFERROR(VLOOKUP(N385,TD!$B$54:$F$58,2,0)," ")</f>
        <v>O230117</v>
      </c>
      <c r="V385" s="172" t="str">
        <f>IFERROR(VLOOKUP(N385,TD!$B$54:$F$58,3,0)," ")</f>
        <v>4503</v>
      </c>
      <c r="W385" s="172">
        <f>IFERROR(VLOOKUP(N385,TD!$B$54:$F$58,4,0)," ")</f>
        <v>20240255</v>
      </c>
      <c r="X385" s="171" t="s">
        <v>170</v>
      </c>
      <c r="Y385" s="172" t="str">
        <f>IFERROR(VLOOKUP(X385,TD!$J$55:$K$68,2,0)," ")</f>
        <v>Servicio de inspecciones técnicas realizadas</v>
      </c>
      <c r="Z385" s="168" t="str">
        <f>CONCATENATE(X385,"-",Y385)</f>
        <v>06-Servicio de inspecciones técnicas realizadas</v>
      </c>
      <c r="AA385" s="171" t="s">
        <v>223</v>
      </c>
      <c r="AB385" s="172" t="str">
        <f>IFERROR(VLOOKUP(AA385,TD!$N$55:$O$70,2,0)," ")</f>
        <v>Servicio prevención y control de incendios</v>
      </c>
      <c r="AC385" s="168" t="str">
        <f>CONCATENATE(AA385,"_",AB385)</f>
        <v>035_Servicio prevención y control de incendios</v>
      </c>
      <c r="AD385" s="168" t="str">
        <f>CONCATENATE(Z385," ",AC385)</f>
        <v>06-Servicio de inspecciones técnicas realizadas 035_Servicio prevención y control de incendios</v>
      </c>
      <c r="AE385" s="172" t="str">
        <f>CONCATENATE(U385,V385,W385,X385,AA385)</f>
        <v>O23011745032024025506035</v>
      </c>
      <c r="AF385" s="172" t="str">
        <f>IFERROR(VLOOKUP(AD385,TD!$J$70:$K$93,2,0)," ")</f>
        <v>PM/0131/0106/45030350255</v>
      </c>
      <c r="AG385" s="114" t="s">
        <v>385</v>
      </c>
      <c r="AH385" s="171" t="s">
        <v>193</v>
      </c>
      <c r="AI385" s="173" t="str">
        <f>CONCATENATE(PAA[[#This Row],[Id Interno]],"-",PAA[[#This Row],[tipo de Contrato (TH talento humano - B/S bienes y/o servicios)]],"-",S385,"-",T385,"-",PAA[[#This Row],[Objeto de la contratación]])</f>
        <v>20260352-TH-8173-1--Prestar  servicios de apoyo tecnico para realizar las inspecciones relacionadas con la emision de conceptos a cargo de la Subdirección de Gestión del Riesgo._SGR</v>
      </c>
    </row>
    <row r="386" spans="2:35" ht="56" x14ac:dyDescent="0.35">
      <c r="B386" s="97">
        <v>20260353</v>
      </c>
      <c r="C386" s="97" t="s">
        <v>517</v>
      </c>
      <c r="D386" s="97" t="s">
        <v>105</v>
      </c>
      <c r="E386" s="97" t="s">
        <v>363</v>
      </c>
      <c r="F386" s="164" t="s">
        <v>145</v>
      </c>
      <c r="G386" s="164" t="s">
        <v>373</v>
      </c>
      <c r="H386" s="170">
        <v>10</v>
      </c>
      <c r="I386" s="170">
        <v>0</v>
      </c>
      <c r="J386" s="114">
        <v>32000000</v>
      </c>
      <c r="K386" s="121" t="s">
        <v>398</v>
      </c>
      <c r="L386" s="164" t="s">
        <v>156</v>
      </c>
      <c r="M386" s="171" t="s">
        <v>484</v>
      </c>
      <c r="N386" s="97" t="s">
        <v>198</v>
      </c>
      <c r="O386" s="144" t="s">
        <v>887</v>
      </c>
      <c r="P386" s="164" t="s">
        <v>348</v>
      </c>
      <c r="Q386" s="123">
        <v>80111600</v>
      </c>
      <c r="R386" s="171" t="s">
        <v>210</v>
      </c>
      <c r="S386" s="168" t="str">
        <f>MID(PAA[[#This Row],[Meta Proyecto de Inversión]],1,4)</f>
        <v>8173</v>
      </c>
      <c r="T386" s="168" t="str">
        <f>MID(PAA[[#This Row],[Meta Proyecto de Inversión]],6,2)</f>
        <v>1-</v>
      </c>
      <c r="U386" s="172" t="str">
        <f>IFERROR(VLOOKUP(N386,TD!$B$54:$F$58,2,0)," ")</f>
        <v>O230117</v>
      </c>
      <c r="V386" s="172" t="str">
        <f>IFERROR(VLOOKUP(N386,TD!$B$54:$F$58,3,0)," ")</f>
        <v>4503</v>
      </c>
      <c r="W386" s="172">
        <f>IFERROR(VLOOKUP(N386,TD!$B$54:$F$58,4,0)," ")</f>
        <v>20240255</v>
      </c>
      <c r="X386" s="171" t="s">
        <v>170</v>
      </c>
      <c r="Y386" s="172" t="str">
        <f>IFERROR(VLOOKUP(X386,TD!$J$55:$K$68,2,0)," ")</f>
        <v>Servicio de inspecciones técnicas realizadas</v>
      </c>
      <c r="Z386" s="168" t="str">
        <f>CONCATENATE(X386,"-",Y386)</f>
        <v>06-Servicio de inspecciones técnicas realizadas</v>
      </c>
      <c r="AA386" s="171" t="s">
        <v>223</v>
      </c>
      <c r="AB386" s="172" t="str">
        <f>IFERROR(VLOOKUP(AA386,TD!$N$55:$O$70,2,0)," ")</f>
        <v>Servicio prevención y control de incendios</v>
      </c>
      <c r="AC386" s="168" t="str">
        <f>CONCATENATE(AA386,"_",AB386)</f>
        <v>035_Servicio prevención y control de incendios</v>
      </c>
      <c r="AD386" s="168" t="str">
        <f>CONCATENATE(Z386," ",AC386)</f>
        <v>06-Servicio de inspecciones técnicas realizadas 035_Servicio prevención y control de incendios</v>
      </c>
      <c r="AE386" s="172" t="str">
        <f>CONCATENATE(U386,V386,W386,X386,AA386)</f>
        <v>O23011745032024025506035</v>
      </c>
      <c r="AF386" s="172" t="str">
        <f>IFERROR(VLOOKUP(AD386,TD!$J$70:$K$93,2,0)," ")</f>
        <v>PM/0131/0106/45030350255</v>
      </c>
      <c r="AG386" s="114" t="s">
        <v>385</v>
      </c>
      <c r="AH386" s="171" t="s">
        <v>193</v>
      </c>
      <c r="AI386" s="173" t="str">
        <f>CONCATENATE(PAA[[#This Row],[Id Interno]],"-",PAA[[#This Row],[tipo de Contrato (TH talento humano - B/S bienes y/o servicios)]],"-",S386,"-",T386,"-",PAA[[#This Row],[Objeto de la contratación]])</f>
        <v>20260353-TH-8173-1--Prestar  servicios de apoyo tecnico para realizar las inspecciones relacionadas con la emision de conceptos a cargo de la Subdirección de Gestión del Riesgo._SGR</v>
      </c>
    </row>
    <row r="387" spans="2:35" ht="56" x14ac:dyDescent="0.35">
      <c r="B387" s="23">
        <v>20260354</v>
      </c>
      <c r="C387" s="97" t="s">
        <v>518</v>
      </c>
      <c r="D387" s="23" t="s">
        <v>105</v>
      </c>
      <c r="E387" s="23" t="s">
        <v>363</v>
      </c>
      <c r="F387" s="163" t="s">
        <v>145</v>
      </c>
      <c r="G387" s="164" t="s">
        <v>373</v>
      </c>
      <c r="H387" s="165">
        <v>10</v>
      </c>
      <c r="I387" s="165">
        <v>0</v>
      </c>
      <c r="J387" s="122">
        <v>40000000</v>
      </c>
      <c r="K387" s="88" t="s">
        <v>398</v>
      </c>
      <c r="L387" s="163" t="s">
        <v>156</v>
      </c>
      <c r="M387" s="166" t="s">
        <v>484</v>
      </c>
      <c r="N387" s="23" t="s">
        <v>198</v>
      </c>
      <c r="O387" s="144" t="s">
        <v>887</v>
      </c>
      <c r="P387" s="163" t="s">
        <v>348</v>
      </c>
      <c r="Q387" s="53">
        <v>80111600</v>
      </c>
      <c r="R387" s="166" t="s">
        <v>210</v>
      </c>
      <c r="S387" s="166" t="str">
        <f>MID(PAA[[#This Row],[Meta Proyecto de Inversión]],1,4)</f>
        <v>8173</v>
      </c>
      <c r="T387" s="166" t="str">
        <f>MID(PAA[[#This Row],[Meta Proyecto de Inversión]],6,2)</f>
        <v>1-</v>
      </c>
      <c r="U387" s="167" t="str">
        <f>IFERROR(VLOOKUP(N387,TD!$B$54:$F$58,2,0)," ")</f>
        <v>O230117</v>
      </c>
      <c r="V387" s="167" t="str">
        <f>IFERROR(VLOOKUP(N387,TD!$B$54:$F$58,3,0)," ")</f>
        <v>4503</v>
      </c>
      <c r="W387" s="167">
        <f>IFERROR(VLOOKUP(N387,TD!$B$54:$F$58,4,0)," ")</f>
        <v>20240255</v>
      </c>
      <c r="X387" s="166" t="s">
        <v>170</v>
      </c>
      <c r="Y387" s="167" t="str">
        <f>IFERROR(VLOOKUP(X387,TD!$J$55:$K$68,2,0)," ")</f>
        <v>Servicio de inspecciones técnicas realizadas</v>
      </c>
      <c r="Z387" s="168" t="str">
        <f>CONCATENATE(X387,"-",Y387)</f>
        <v>06-Servicio de inspecciones técnicas realizadas</v>
      </c>
      <c r="AA387" s="166" t="s">
        <v>223</v>
      </c>
      <c r="AB387" s="167" t="str">
        <f>IFERROR(VLOOKUP(AA387,TD!$N$55:$O$70,2,0)," ")</f>
        <v>Servicio prevención y control de incendios</v>
      </c>
      <c r="AC387" s="168" t="str">
        <f>CONCATENATE(AA387,"_",AB387)</f>
        <v>035_Servicio prevención y control de incendios</v>
      </c>
      <c r="AD387" s="168" t="str">
        <f>CONCATENATE(Z387," ",AC387)</f>
        <v>06-Servicio de inspecciones técnicas realizadas 035_Servicio prevención y control de incendios</v>
      </c>
      <c r="AE387" s="167" t="str">
        <f>CONCATENATE(U387,V387,W387,X387,AA387)</f>
        <v>O23011745032024025506035</v>
      </c>
      <c r="AF387" s="167" t="str">
        <f>IFERROR(VLOOKUP(AD387,TD!$J$70:$K$93,2,0)," ")</f>
        <v>PM/0131/0106/45030350255</v>
      </c>
      <c r="AG387" s="114" t="s">
        <v>385</v>
      </c>
      <c r="AH387" s="166" t="s">
        <v>193</v>
      </c>
      <c r="AI387" s="169" t="str">
        <f>CONCATENATE(PAA[[#This Row],[Id Interno]],"-",PAA[[#This Row],[tipo de Contrato (TH talento humano - B/S bienes y/o servicios)]],"-",S387,"-",T387,"-",PAA[[#This Row],[Objeto de la contratación]])</f>
        <v>20260354-TH-8173-1--  Prestar  servicios de apoyo tecnico para realizar las inspecciones relacionadas con la emision de conceptos a cargo de la Subdirección de Gestión del Riesgo._SGR</v>
      </c>
    </row>
    <row r="388" spans="2:35" ht="56" x14ac:dyDescent="0.35">
      <c r="B388" s="97">
        <v>20260355</v>
      </c>
      <c r="C388" s="97" t="s">
        <v>517</v>
      </c>
      <c r="D388" s="97" t="s">
        <v>105</v>
      </c>
      <c r="E388" s="97" t="s">
        <v>363</v>
      </c>
      <c r="F388" s="164" t="s">
        <v>145</v>
      </c>
      <c r="G388" s="164" t="s">
        <v>373</v>
      </c>
      <c r="H388" s="170">
        <v>10</v>
      </c>
      <c r="I388" s="170">
        <v>0</v>
      </c>
      <c r="J388" s="114">
        <v>32000000</v>
      </c>
      <c r="K388" s="121" t="s">
        <v>398</v>
      </c>
      <c r="L388" s="164" t="s">
        <v>156</v>
      </c>
      <c r="M388" s="171" t="s">
        <v>484</v>
      </c>
      <c r="N388" s="97" t="s">
        <v>198</v>
      </c>
      <c r="O388" s="144" t="s">
        <v>887</v>
      </c>
      <c r="P388" s="164" t="s">
        <v>348</v>
      </c>
      <c r="Q388" s="123">
        <v>80111600</v>
      </c>
      <c r="R388" s="171" t="s">
        <v>210</v>
      </c>
      <c r="S388" s="168" t="str">
        <f>MID(PAA[[#This Row],[Meta Proyecto de Inversión]],1,4)</f>
        <v>8173</v>
      </c>
      <c r="T388" s="168" t="str">
        <f>MID(PAA[[#This Row],[Meta Proyecto de Inversión]],6,2)</f>
        <v>1-</v>
      </c>
      <c r="U388" s="172" t="str">
        <f>IFERROR(VLOOKUP(N388,TD!$B$54:$F$58,2,0)," ")</f>
        <v>O230117</v>
      </c>
      <c r="V388" s="172" t="str">
        <f>IFERROR(VLOOKUP(N388,TD!$B$54:$F$58,3,0)," ")</f>
        <v>4503</v>
      </c>
      <c r="W388" s="172">
        <f>IFERROR(VLOOKUP(N388,TD!$B$54:$F$58,4,0)," ")</f>
        <v>20240255</v>
      </c>
      <c r="X388" s="171" t="s">
        <v>170</v>
      </c>
      <c r="Y388" s="172" t="str">
        <f>IFERROR(VLOOKUP(X388,TD!$J$55:$K$68,2,0)," ")</f>
        <v>Servicio de inspecciones técnicas realizadas</v>
      </c>
      <c r="Z388" s="168" t="str">
        <f>CONCATENATE(X388,"-",Y388)</f>
        <v>06-Servicio de inspecciones técnicas realizadas</v>
      </c>
      <c r="AA388" s="171" t="s">
        <v>223</v>
      </c>
      <c r="AB388" s="172" t="str">
        <f>IFERROR(VLOOKUP(AA388,TD!$N$55:$O$70,2,0)," ")</f>
        <v>Servicio prevención y control de incendios</v>
      </c>
      <c r="AC388" s="168" t="str">
        <f>CONCATENATE(AA388,"_",AB388)</f>
        <v>035_Servicio prevención y control de incendios</v>
      </c>
      <c r="AD388" s="168" t="str">
        <f>CONCATENATE(Z388," ",AC388)</f>
        <v>06-Servicio de inspecciones técnicas realizadas 035_Servicio prevención y control de incendios</v>
      </c>
      <c r="AE388" s="172" t="str">
        <f>CONCATENATE(U388,V388,W388,X388,AA388)</f>
        <v>O23011745032024025506035</v>
      </c>
      <c r="AF388" s="172" t="str">
        <f>IFERROR(VLOOKUP(AD388,TD!$J$70:$K$93,2,0)," ")</f>
        <v>PM/0131/0106/45030350255</v>
      </c>
      <c r="AG388" s="114" t="s">
        <v>385</v>
      </c>
      <c r="AH388" s="171" t="s">
        <v>193</v>
      </c>
      <c r="AI388" s="173" t="str">
        <f>CONCATENATE(PAA[[#This Row],[Id Interno]],"-",PAA[[#This Row],[tipo de Contrato (TH talento humano - B/S bienes y/o servicios)]],"-",S388,"-",T388,"-",PAA[[#This Row],[Objeto de la contratación]])</f>
        <v>20260355-TH-8173-1--Prestar  servicios de apoyo tecnico para realizar las inspecciones relacionadas con la emision de conceptos a cargo de la Subdirección de Gestión del Riesgo._SGR</v>
      </c>
    </row>
    <row r="389" spans="2:35" ht="56" x14ac:dyDescent="0.35">
      <c r="B389" s="23">
        <v>20260356</v>
      </c>
      <c r="C389" s="97" t="s">
        <v>517</v>
      </c>
      <c r="D389" s="23" t="s">
        <v>105</v>
      </c>
      <c r="E389" s="23" t="s">
        <v>363</v>
      </c>
      <c r="F389" s="163" t="s">
        <v>145</v>
      </c>
      <c r="G389" s="164" t="s">
        <v>373</v>
      </c>
      <c r="H389" s="165">
        <v>10</v>
      </c>
      <c r="I389" s="165">
        <v>0</v>
      </c>
      <c r="J389" s="122">
        <v>40000000</v>
      </c>
      <c r="K389" s="88" t="s">
        <v>398</v>
      </c>
      <c r="L389" s="163" t="s">
        <v>156</v>
      </c>
      <c r="M389" s="166" t="s">
        <v>484</v>
      </c>
      <c r="N389" s="23" t="s">
        <v>198</v>
      </c>
      <c r="O389" s="144" t="s">
        <v>887</v>
      </c>
      <c r="P389" s="163" t="s">
        <v>348</v>
      </c>
      <c r="Q389" s="53">
        <v>80111600</v>
      </c>
      <c r="R389" s="166" t="s">
        <v>210</v>
      </c>
      <c r="S389" s="166" t="str">
        <f>MID(PAA[[#This Row],[Meta Proyecto de Inversión]],1,4)</f>
        <v>8173</v>
      </c>
      <c r="T389" s="166" t="str">
        <f>MID(PAA[[#This Row],[Meta Proyecto de Inversión]],6,2)</f>
        <v>1-</v>
      </c>
      <c r="U389" s="167" t="str">
        <f>IFERROR(VLOOKUP(N389,TD!$B$54:$F$58,2,0)," ")</f>
        <v>O230117</v>
      </c>
      <c r="V389" s="167" t="str">
        <f>IFERROR(VLOOKUP(N389,TD!$B$54:$F$58,3,0)," ")</f>
        <v>4503</v>
      </c>
      <c r="W389" s="167">
        <f>IFERROR(VLOOKUP(N389,TD!$B$54:$F$58,4,0)," ")</f>
        <v>20240255</v>
      </c>
      <c r="X389" s="166" t="s">
        <v>170</v>
      </c>
      <c r="Y389" s="167" t="str">
        <f>IFERROR(VLOOKUP(X389,TD!$J$55:$K$68,2,0)," ")</f>
        <v>Servicio de inspecciones técnicas realizadas</v>
      </c>
      <c r="Z389" s="168" t="str">
        <f>CONCATENATE(X389,"-",Y389)</f>
        <v>06-Servicio de inspecciones técnicas realizadas</v>
      </c>
      <c r="AA389" s="166" t="s">
        <v>223</v>
      </c>
      <c r="AB389" s="167" t="str">
        <f>IFERROR(VLOOKUP(AA389,TD!$N$55:$O$70,2,0)," ")</f>
        <v>Servicio prevención y control de incendios</v>
      </c>
      <c r="AC389" s="168" t="str">
        <f>CONCATENATE(AA389,"_",AB389)</f>
        <v>035_Servicio prevención y control de incendios</v>
      </c>
      <c r="AD389" s="168" t="str">
        <f>CONCATENATE(Z389," ",AC389)</f>
        <v>06-Servicio de inspecciones técnicas realizadas 035_Servicio prevención y control de incendios</v>
      </c>
      <c r="AE389" s="167" t="str">
        <f>CONCATENATE(U389,V389,W389,X389,AA389)</f>
        <v>O23011745032024025506035</v>
      </c>
      <c r="AF389" s="167" t="str">
        <f>IFERROR(VLOOKUP(AD389,TD!$J$70:$K$93,2,0)," ")</f>
        <v>PM/0131/0106/45030350255</v>
      </c>
      <c r="AG389" s="114" t="s">
        <v>385</v>
      </c>
      <c r="AH389" s="166" t="s">
        <v>193</v>
      </c>
      <c r="AI389" s="169" t="str">
        <f>CONCATENATE(PAA[[#This Row],[Id Interno]],"-",PAA[[#This Row],[tipo de Contrato (TH talento humano - B/S bienes y/o servicios)]],"-",S389,"-",T389,"-",PAA[[#This Row],[Objeto de la contratación]])</f>
        <v>20260356-TH-8173-1--Prestar  servicios de apoyo tecnico para realizar las inspecciones relacionadas con la emision de conceptos a cargo de la Subdirección de Gestión del Riesgo._SGR</v>
      </c>
    </row>
    <row r="390" spans="2:35" ht="56" x14ac:dyDescent="0.35">
      <c r="B390" s="97">
        <v>20260357</v>
      </c>
      <c r="C390" s="97" t="s">
        <v>517</v>
      </c>
      <c r="D390" s="97" t="s">
        <v>105</v>
      </c>
      <c r="E390" s="97" t="s">
        <v>363</v>
      </c>
      <c r="F390" s="164" t="s">
        <v>145</v>
      </c>
      <c r="G390" s="164" t="s">
        <v>373</v>
      </c>
      <c r="H390" s="170">
        <v>10</v>
      </c>
      <c r="I390" s="170">
        <v>0</v>
      </c>
      <c r="J390" s="114">
        <v>32000000</v>
      </c>
      <c r="K390" s="121" t="s">
        <v>398</v>
      </c>
      <c r="L390" s="164" t="s">
        <v>156</v>
      </c>
      <c r="M390" s="171" t="s">
        <v>484</v>
      </c>
      <c r="N390" s="97" t="s">
        <v>198</v>
      </c>
      <c r="O390" s="144" t="s">
        <v>887</v>
      </c>
      <c r="P390" s="164" t="s">
        <v>348</v>
      </c>
      <c r="Q390" s="123">
        <v>80111600</v>
      </c>
      <c r="R390" s="171" t="s">
        <v>210</v>
      </c>
      <c r="S390" s="168" t="str">
        <f>MID(PAA[[#This Row],[Meta Proyecto de Inversión]],1,4)</f>
        <v>8173</v>
      </c>
      <c r="T390" s="168" t="str">
        <f>MID(PAA[[#This Row],[Meta Proyecto de Inversión]],6,2)</f>
        <v>1-</v>
      </c>
      <c r="U390" s="172" t="str">
        <f>IFERROR(VLOOKUP(N390,TD!$B$54:$F$58,2,0)," ")</f>
        <v>O230117</v>
      </c>
      <c r="V390" s="172" t="str">
        <f>IFERROR(VLOOKUP(N390,TD!$B$54:$F$58,3,0)," ")</f>
        <v>4503</v>
      </c>
      <c r="W390" s="172">
        <f>IFERROR(VLOOKUP(N390,TD!$B$54:$F$58,4,0)," ")</f>
        <v>20240255</v>
      </c>
      <c r="X390" s="171" t="s">
        <v>170</v>
      </c>
      <c r="Y390" s="172" t="str">
        <f>IFERROR(VLOOKUP(X390,TD!$J$55:$K$68,2,0)," ")</f>
        <v>Servicio de inspecciones técnicas realizadas</v>
      </c>
      <c r="Z390" s="168" t="str">
        <f>CONCATENATE(X390,"-",Y390)</f>
        <v>06-Servicio de inspecciones técnicas realizadas</v>
      </c>
      <c r="AA390" s="171" t="s">
        <v>223</v>
      </c>
      <c r="AB390" s="172" t="str">
        <f>IFERROR(VLOOKUP(AA390,TD!$N$55:$O$70,2,0)," ")</f>
        <v>Servicio prevención y control de incendios</v>
      </c>
      <c r="AC390" s="168" t="str">
        <f>CONCATENATE(AA390,"_",AB390)</f>
        <v>035_Servicio prevención y control de incendios</v>
      </c>
      <c r="AD390" s="168" t="str">
        <f>CONCATENATE(Z390," ",AC390)</f>
        <v>06-Servicio de inspecciones técnicas realizadas 035_Servicio prevención y control de incendios</v>
      </c>
      <c r="AE390" s="172" t="str">
        <f>CONCATENATE(U390,V390,W390,X390,AA390)</f>
        <v>O23011745032024025506035</v>
      </c>
      <c r="AF390" s="172" t="str">
        <f>IFERROR(VLOOKUP(AD390,TD!$J$70:$K$93,2,0)," ")</f>
        <v>PM/0131/0106/45030350255</v>
      </c>
      <c r="AG390" s="114" t="s">
        <v>385</v>
      </c>
      <c r="AH390" s="171" t="s">
        <v>193</v>
      </c>
      <c r="AI390" s="173" t="str">
        <f>CONCATENATE(PAA[[#This Row],[Id Interno]],"-",PAA[[#This Row],[tipo de Contrato (TH talento humano - B/S bienes y/o servicios)]],"-",S390,"-",T390,"-",PAA[[#This Row],[Objeto de la contratación]])</f>
        <v>20260357-TH-8173-1--Prestar  servicios de apoyo tecnico para realizar las inspecciones relacionadas con la emision de conceptos a cargo de la Subdirección de Gestión del Riesgo._SGR</v>
      </c>
    </row>
    <row r="391" spans="2:35" ht="56" customHeight="1" x14ac:dyDescent="0.35">
      <c r="B391" s="23">
        <v>20260358</v>
      </c>
      <c r="C391" s="97" t="s">
        <v>517</v>
      </c>
      <c r="D391" s="23" t="s">
        <v>105</v>
      </c>
      <c r="E391" s="23" t="s">
        <v>363</v>
      </c>
      <c r="F391" s="163" t="s">
        <v>145</v>
      </c>
      <c r="G391" s="164" t="s">
        <v>373</v>
      </c>
      <c r="H391" s="165">
        <v>10</v>
      </c>
      <c r="I391" s="165">
        <v>0</v>
      </c>
      <c r="J391" s="122">
        <v>40000000</v>
      </c>
      <c r="K391" s="88" t="s">
        <v>398</v>
      </c>
      <c r="L391" s="163" t="s">
        <v>156</v>
      </c>
      <c r="M391" s="166" t="s">
        <v>484</v>
      </c>
      <c r="N391" s="23" t="s">
        <v>198</v>
      </c>
      <c r="O391" s="144" t="s">
        <v>887</v>
      </c>
      <c r="P391" s="163" t="s">
        <v>348</v>
      </c>
      <c r="Q391" s="53">
        <v>80111600</v>
      </c>
      <c r="R391" s="166" t="s">
        <v>210</v>
      </c>
      <c r="S391" s="166" t="str">
        <f>MID(PAA[[#This Row],[Meta Proyecto de Inversión]],1,4)</f>
        <v>8173</v>
      </c>
      <c r="T391" s="166" t="str">
        <f>MID(PAA[[#This Row],[Meta Proyecto de Inversión]],6,2)</f>
        <v>1-</v>
      </c>
      <c r="U391" s="167" t="str">
        <f>IFERROR(VLOOKUP(N391,TD!$B$54:$F$58,2,0)," ")</f>
        <v>O230117</v>
      </c>
      <c r="V391" s="167" t="str">
        <f>IFERROR(VLOOKUP(N391,TD!$B$54:$F$58,3,0)," ")</f>
        <v>4503</v>
      </c>
      <c r="W391" s="167">
        <f>IFERROR(VLOOKUP(N391,TD!$B$54:$F$58,4,0)," ")</f>
        <v>20240255</v>
      </c>
      <c r="X391" s="166" t="s">
        <v>170</v>
      </c>
      <c r="Y391" s="167" t="str">
        <f>IFERROR(VLOOKUP(X391,TD!$J$55:$K$68,2,0)," ")</f>
        <v>Servicio de inspecciones técnicas realizadas</v>
      </c>
      <c r="Z391" s="168" t="str">
        <f>CONCATENATE(X391,"-",Y391)</f>
        <v>06-Servicio de inspecciones técnicas realizadas</v>
      </c>
      <c r="AA391" s="166" t="s">
        <v>223</v>
      </c>
      <c r="AB391" s="167" t="str">
        <f>IFERROR(VLOOKUP(AA391,TD!$N$55:$O$70,2,0)," ")</f>
        <v>Servicio prevención y control de incendios</v>
      </c>
      <c r="AC391" s="168" t="str">
        <f>CONCATENATE(AA391,"_",AB391)</f>
        <v>035_Servicio prevención y control de incendios</v>
      </c>
      <c r="AD391" s="168" t="str">
        <f>CONCATENATE(Z391," ",AC391)</f>
        <v>06-Servicio de inspecciones técnicas realizadas 035_Servicio prevención y control de incendios</v>
      </c>
      <c r="AE391" s="167" t="str">
        <f>CONCATENATE(U391,V391,W391,X391,AA391)</f>
        <v>O23011745032024025506035</v>
      </c>
      <c r="AF391" s="167" t="str">
        <f>IFERROR(VLOOKUP(AD391,TD!$J$70:$K$93,2,0)," ")</f>
        <v>PM/0131/0106/45030350255</v>
      </c>
      <c r="AG391" s="114" t="s">
        <v>385</v>
      </c>
      <c r="AH391" s="166" t="s">
        <v>193</v>
      </c>
      <c r="AI391" s="169" t="str">
        <f>CONCATENATE(PAA[[#This Row],[Id Interno]],"-",PAA[[#This Row],[tipo de Contrato (TH talento humano - B/S bienes y/o servicios)]],"-",S391,"-",T391,"-",PAA[[#This Row],[Objeto de la contratación]])</f>
        <v>20260358-TH-8173-1--Prestar  servicios de apoyo tecnico para realizar las inspecciones relacionadas con la emision de conceptos a cargo de la Subdirección de Gestión del Riesgo._SGR</v>
      </c>
    </row>
    <row r="392" spans="2:35" ht="56" x14ac:dyDescent="0.35">
      <c r="B392" s="97">
        <v>20260359</v>
      </c>
      <c r="C392" s="97" t="s">
        <v>517</v>
      </c>
      <c r="D392" s="97" t="s">
        <v>105</v>
      </c>
      <c r="E392" s="97" t="s">
        <v>363</v>
      </c>
      <c r="F392" s="164" t="s">
        <v>145</v>
      </c>
      <c r="G392" s="164" t="s">
        <v>373</v>
      </c>
      <c r="H392" s="170">
        <v>10</v>
      </c>
      <c r="I392" s="170">
        <v>0</v>
      </c>
      <c r="J392" s="114">
        <v>32000000</v>
      </c>
      <c r="K392" s="121" t="s">
        <v>398</v>
      </c>
      <c r="L392" s="164" t="s">
        <v>156</v>
      </c>
      <c r="M392" s="171" t="s">
        <v>484</v>
      </c>
      <c r="N392" s="97" t="s">
        <v>198</v>
      </c>
      <c r="O392" s="144" t="s">
        <v>887</v>
      </c>
      <c r="P392" s="164" t="s">
        <v>348</v>
      </c>
      <c r="Q392" s="123">
        <v>80111600</v>
      </c>
      <c r="R392" s="171" t="s">
        <v>210</v>
      </c>
      <c r="S392" s="168" t="str">
        <f>MID(PAA[[#This Row],[Meta Proyecto de Inversión]],1,4)</f>
        <v>8173</v>
      </c>
      <c r="T392" s="168" t="str">
        <f>MID(PAA[[#This Row],[Meta Proyecto de Inversión]],6,2)</f>
        <v>1-</v>
      </c>
      <c r="U392" s="172" t="str">
        <f>IFERROR(VLOOKUP(N392,TD!$B$54:$F$58,2,0)," ")</f>
        <v>O230117</v>
      </c>
      <c r="V392" s="172" t="str">
        <f>IFERROR(VLOOKUP(N392,TD!$B$54:$F$58,3,0)," ")</f>
        <v>4503</v>
      </c>
      <c r="W392" s="172">
        <f>IFERROR(VLOOKUP(N392,TD!$B$54:$F$58,4,0)," ")</f>
        <v>20240255</v>
      </c>
      <c r="X392" s="171" t="s">
        <v>170</v>
      </c>
      <c r="Y392" s="172" t="str">
        <f>IFERROR(VLOOKUP(X392,TD!$J$55:$K$68,2,0)," ")</f>
        <v>Servicio de inspecciones técnicas realizadas</v>
      </c>
      <c r="Z392" s="168" t="str">
        <f>CONCATENATE(X392,"-",Y392)</f>
        <v>06-Servicio de inspecciones técnicas realizadas</v>
      </c>
      <c r="AA392" s="171" t="s">
        <v>223</v>
      </c>
      <c r="AB392" s="172" t="str">
        <f>IFERROR(VLOOKUP(AA392,TD!$N$55:$O$70,2,0)," ")</f>
        <v>Servicio prevención y control de incendios</v>
      </c>
      <c r="AC392" s="168" t="str">
        <f>CONCATENATE(AA392,"_",AB392)</f>
        <v>035_Servicio prevención y control de incendios</v>
      </c>
      <c r="AD392" s="168" t="str">
        <f>CONCATENATE(Z392," ",AC392)</f>
        <v>06-Servicio de inspecciones técnicas realizadas 035_Servicio prevención y control de incendios</v>
      </c>
      <c r="AE392" s="172" t="str">
        <f>CONCATENATE(U392,V392,W392,X392,AA392)</f>
        <v>O23011745032024025506035</v>
      </c>
      <c r="AF392" s="172" t="str">
        <f>IFERROR(VLOOKUP(AD392,TD!$J$70:$K$93,2,0)," ")</f>
        <v>PM/0131/0106/45030350255</v>
      </c>
      <c r="AG392" s="114" t="s">
        <v>385</v>
      </c>
      <c r="AH392" s="171" t="s">
        <v>193</v>
      </c>
      <c r="AI392" s="173" t="str">
        <f>CONCATENATE(PAA[[#This Row],[Id Interno]],"-",PAA[[#This Row],[tipo de Contrato (TH talento humano - B/S bienes y/o servicios)]],"-",S392,"-",T392,"-",PAA[[#This Row],[Objeto de la contratación]])</f>
        <v>20260359-TH-8173-1--Prestar  servicios de apoyo tecnico para realizar las inspecciones relacionadas con la emision de conceptos a cargo de la Subdirección de Gestión del Riesgo._SGR</v>
      </c>
    </row>
    <row r="393" spans="2:35" ht="56" x14ac:dyDescent="0.35">
      <c r="B393" s="23">
        <v>20260360</v>
      </c>
      <c r="C393" s="97" t="s">
        <v>517</v>
      </c>
      <c r="D393" s="23" t="s">
        <v>105</v>
      </c>
      <c r="E393" s="23" t="s">
        <v>363</v>
      </c>
      <c r="F393" s="163" t="s">
        <v>145</v>
      </c>
      <c r="G393" s="164" t="s">
        <v>373</v>
      </c>
      <c r="H393" s="165">
        <v>10</v>
      </c>
      <c r="I393" s="165">
        <v>0</v>
      </c>
      <c r="J393" s="122">
        <v>40000000</v>
      </c>
      <c r="K393" s="88" t="s">
        <v>398</v>
      </c>
      <c r="L393" s="163" t="s">
        <v>156</v>
      </c>
      <c r="M393" s="166" t="s">
        <v>484</v>
      </c>
      <c r="N393" s="23" t="s">
        <v>198</v>
      </c>
      <c r="O393" s="144" t="s">
        <v>887</v>
      </c>
      <c r="P393" s="163" t="s">
        <v>348</v>
      </c>
      <c r="Q393" s="53">
        <v>80111600</v>
      </c>
      <c r="R393" s="166" t="s">
        <v>210</v>
      </c>
      <c r="S393" s="166" t="str">
        <f>MID(PAA[[#This Row],[Meta Proyecto de Inversión]],1,4)</f>
        <v>8173</v>
      </c>
      <c r="T393" s="166" t="str">
        <f>MID(PAA[[#This Row],[Meta Proyecto de Inversión]],6,2)</f>
        <v>1-</v>
      </c>
      <c r="U393" s="167" t="str">
        <f>IFERROR(VLOOKUP(N393,TD!$B$54:$F$58,2,0)," ")</f>
        <v>O230117</v>
      </c>
      <c r="V393" s="167" t="str">
        <f>IFERROR(VLOOKUP(N393,TD!$B$54:$F$58,3,0)," ")</f>
        <v>4503</v>
      </c>
      <c r="W393" s="167">
        <f>IFERROR(VLOOKUP(N393,TD!$B$54:$F$58,4,0)," ")</f>
        <v>20240255</v>
      </c>
      <c r="X393" s="166" t="s">
        <v>170</v>
      </c>
      <c r="Y393" s="167" t="str">
        <f>IFERROR(VLOOKUP(X393,TD!$J$55:$K$68,2,0)," ")</f>
        <v>Servicio de inspecciones técnicas realizadas</v>
      </c>
      <c r="Z393" s="168" t="str">
        <f>CONCATENATE(X393,"-",Y393)</f>
        <v>06-Servicio de inspecciones técnicas realizadas</v>
      </c>
      <c r="AA393" s="166" t="s">
        <v>223</v>
      </c>
      <c r="AB393" s="167" t="str">
        <f>IFERROR(VLOOKUP(AA393,TD!$N$55:$O$70,2,0)," ")</f>
        <v>Servicio prevención y control de incendios</v>
      </c>
      <c r="AC393" s="168" t="str">
        <f>CONCATENATE(AA393,"_",AB393)</f>
        <v>035_Servicio prevención y control de incendios</v>
      </c>
      <c r="AD393" s="168" t="str">
        <f>CONCATENATE(Z393," ",AC393)</f>
        <v>06-Servicio de inspecciones técnicas realizadas 035_Servicio prevención y control de incendios</v>
      </c>
      <c r="AE393" s="167" t="str">
        <f>CONCATENATE(U393,V393,W393,X393,AA393)</f>
        <v>O23011745032024025506035</v>
      </c>
      <c r="AF393" s="167" t="str">
        <f>IFERROR(VLOOKUP(AD393,TD!$J$70:$K$93,2,0)," ")</f>
        <v>PM/0131/0106/45030350255</v>
      </c>
      <c r="AG393" s="114" t="s">
        <v>385</v>
      </c>
      <c r="AH393" s="166" t="s">
        <v>193</v>
      </c>
      <c r="AI393" s="169" t="str">
        <f>CONCATENATE(PAA[[#This Row],[Id Interno]],"-",PAA[[#This Row],[tipo de Contrato (TH talento humano - B/S bienes y/o servicios)]],"-",S393,"-",T393,"-",PAA[[#This Row],[Objeto de la contratación]])</f>
        <v>20260360-TH-8173-1--Prestar  servicios de apoyo tecnico para realizar las inspecciones relacionadas con la emision de conceptos a cargo de la Subdirección de Gestión del Riesgo._SGR</v>
      </c>
    </row>
    <row r="394" spans="2:35" ht="56" x14ac:dyDescent="0.35">
      <c r="B394" s="97">
        <v>20260361</v>
      </c>
      <c r="C394" s="97" t="s">
        <v>517</v>
      </c>
      <c r="D394" s="97" t="s">
        <v>105</v>
      </c>
      <c r="E394" s="97" t="s">
        <v>363</v>
      </c>
      <c r="F394" s="164" t="s">
        <v>145</v>
      </c>
      <c r="G394" s="164" t="s">
        <v>373</v>
      </c>
      <c r="H394" s="170">
        <v>10</v>
      </c>
      <c r="I394" s="170">
        <v>0</v>
      </c>
      <c r="J394" s="114">
        <v>32000000</v>
      </c>
      <c r="K394" s="121" t="s">
        <v>398</v>
      </c>
      <c r="L394" s="164" t="s">
        <v>156</v>
      </c>
      <c r="M394" s="171" t="s">
        <v>484</v>
      </c>
      <c r="N394" s="97" t="s">
        <v>198</v>
      </c>
      <c r="O394" s="144" t="s">
        <v>887</v>
      </c>
      <c r="P394" s="164" t="s">
        <v>348</v>
      </c>
      <c r="Q394" s="123">
        <v>80111600</v>
      </c>
      <c r="R394" s="171" t="s">
        <v>210</v>
      </c>
      <c r="S394" s="168" t="str">
        <f>MID(PAA[[#This Row],[Meta Proyecto de Inversión]],1,4)</f>
        <v>8173</v>
      </c>
      <c r="T394" s="168" t="str">
        <f>MID(PAA[[#This Row],[Meta Proyecto de Inversión]],6,2)</f>
        <v>1-</v>
      </c>
      <c r="U394" s="172" t="str">
        <f>IFERROR(VLOOKUP(N394,TD!$B$54:$F$58,2,0)," ")</f>
        <v>O230117</v>
      </c>
      <c r="V394" s="172" t="str">
        <f>IFERROR(VLOOKUP(N394,TD!$B$54:$F$58,3,0)," ")</f>
        <v>4503</v>
      </c>
      <c r="W394" s="172">
        <f>IFERROR(VLOOKUP(N394,TD!$B$54:$F$58,4,0)," ")</f>
        <v>20240255</v>
      </c>
      <c r="X394" s="171" t="s">
        <v>170</v>
      </c>
      <c r="Y394" s="172" t="str">
        <f>IFERROR(VLOOKUP(X394,TD!$J$55:$K$68,2,0)," ")</f>
        <v>Servicio de inspecciones técnicas realizadas</v>
      </c>
      <c r="Z394" s="168" t="str">
        <f>CONCATENATE(X394,"-",Y394)</f>
        <v>06-Servicio de inspecciones técnicas realizadas</v>
      </c>
      <c r="AA394" s="171" t="s">
        <v>223</v>
      </c>
      <c r="AB394" s="172" t="str">
        <f>IFERROR(VLOOKUP(AA394,TD!$N$55:$O$70,2,0)," ")</f>
        <v>Servicio prevención y control de incendios</v>
      </c>
      <c r="AC394" s="168" t="str">
        <f>CONCATENATE(AA394,"_",AB394)</f>
        <v>035_Servicio prevención y control de incendios</v>
      </c>
      <c r="AD394" s="168" t="str">
        <f>CONCATENATE(Z394," ",AC394)</f>
        <v>06-Servicio de inspecciones técnicas realizadas 035_Servicio prevención y control de incendios</v>
      </c>
      <c r="AE394" s="172" t="str">
        <f>CONCATENATE(U394,V394,W394,X394,AA394)</f>
        <v>O23011745032024025506035</v>
      </c>
      <c r="AF394" s="172" t="str">
        <f>IFERROR(VLOOKUP(AD394,TD!$J$70:$K$93,2,0)," ")</f>
        <v>PM/0131/0106/45030350255</v>
      </c>
      <c r="AG394" s="114" t="s">
        <v>385</v>
      </c>
      <c r="AH394" s="171" t="s">
        <v>193</v>
      </c>
      <c r="AI394" s="173" t="str">
        <f>CONCATENATE(PAA[[#This Row],[Id Interno]],"-",PAA[[#This Row],[tipo de Contrato (TH talento humano - B/S bienes y/o servicios)]],"-",S394,"-",T394,"-",PAA[[#This Row],[Objeto de la contratación]])</f>
        <v>20260361-TH-8173-1--Prestar  servicios de apoyo tecnico para realizar las inspecciones relacionadas con la emision de conceptos a cargo de la Subdirección de Gestión del Riesgo._SGR</v>
      </c>
    </row>
    <row r="395" spans="2:35" ht="56" x14ac:dyDescent="0.35">
      <c r="B395" s="97">
        <v>20260362</v>
      </c>
      <c r="C395" s="97" t="s">
        <v>517</v>
      </c>
      <c r="D395" s="97" t="s">
        <v>105</v>
      </c>
      <c r="E395" s="97" t="s">
        <v>363</v>
      </c>
      <c r="F395" s="164" t="s">
        <v>145</v>
      </c>
      <c r="G395" s="164" t="s">
        <v>373</v>
      </c>
      <c r="H395" s="170">
        <v>10</v>
      </c>
      <c r="I395" s="170">
        <v>0</v>
      </c>
      <c r="J395" s="114">
        <v>28000000</v>
      </c>
      <c r="K395" s="121" t="s">
        <v>398</v>
      </c>
      <c r="L395" s="164" t="s">
        <v>156</v>
      </c>
      <c r="M395" s="171" t="s">
        <v>484</v>
      </c>
      <c r="N395" s="97" t="s">
        <v>198</v>
      </c>
      <c r="O395" s="144" t="s">
        <v>887</v>
      </c>
      <c r="P395" s="164" t="s">
        <v>348</v>
      </c>
      <c r="Q395" s="123">
        <v>80111600</v>
      </c>
      <c r="R395" s="171" t="s">
        <v>210</v>
      </c>
      <c r="S395" s="168" t="str">
        <f>MID(PAA[[#This Row],[Meta Proyecto de Inversión]],1,4)</f>
        <v>8173</v>
      </c>
      <c r="T395" s="168" t="str">
        <f>MID(PAA[[#This Row],[Meta Proyecto de Inversión]],6,2)</f>
        <v>1-</v>
      </c>
      <c r="U395" s="172" t="str">
        <f>IFERROR(VLOOKUP(N395,TD!$B$54:$F$58,2,0)," ")</f>
        <v>O230117</v>
      </c>
      <c r="V395" s="172" t="str">
        <f>IFERROR(VLOOKUP(N395,TD!$B$54:$F$58,3,0)," ")</f>
        <v>4503</v>
      </c>
      <c r="W395" s="172">
        <f>IFERROR(VLOOKUP(N395,TD!$B$54:$F$58,4,0)," ")</f>
        <v>20240255</v>
      </c>
      <c r="X395" s="171" t="s">
        <v>170</v>
      </c>
      <c r="Y395" s="172" t="str">
        <f>IFERROR(VLOOKUP(X395,TD!$J$55:$K$68,2,0)," ")</f>
        <v>Servicio de inspecciones técnicas realizadas</v>
      </c>
      <c r="Z395" s="168" t="str">
        <f>CONCATENATE(X395,"-",Y395)</f>
        <v>06-Servicio de inspecciones técnicas realizadas</v>
      </c>
      <c r="AA395" s="171" t="s">
        <v>223</v>
      </c>
      <c r="AB395" s="172" t="str">
        <f>IFERROR(VLOOKUP(AA395,TD!$N$55:$O$70,2,0)," ")</f>
        <v>Servicio prevención y control de incendios</v>
      </c>
      <c r="AC395" s="168" t="str">
        <f>CONCATENATE(AA395,"_",AB395)</f>
        <v>035_Servicio prevención y control de incendios</v>
      </c>
      <c r="AD395" s="168" t="str">
        <f>CONCATENATE(Z395," ",AC395)</f>
        <v>06-Servicio de inspecciones técnicas realizadas 035_Servicio prevención y control de incendios</v>
      </c>
      <c r="AE395" s="172" t="str">
        <f>CONCATENATE(U395,V395,W395,X395,AA395)</f>
        <v>O23011745032024025506035</v>
      </c>
      <c r="AF395" s="172" t="str">
        <f>IFERROR(VLOOKUP(AD395,TD!$J$70:$K$93,2,0)," ")</f>
        <v>PM/0131/0106/45030350255</v>
      </c>
      <c r="AG395" s="114" t="s">
        <v>385</v>
      </c>
      <c r="AH395" s="171" t="s">
        <v>193</v>
      </c>
      <c r="AI395" s="173" t="str">
        <f>CONCATENATE(PAA[[#This Row],[Id Interno]],"-",PAA[[#This Row],[tipo de Contrato (TH talento humano - B/S bienes y/o servicios)]],"-",S395,"-",T395,"-",PAA[[#This Row],[Objeto de la contratación]])</f>
        <v>20260362-TH-8173-1--Prestar  servicios de apoyo tecnico para realizar las inspecciones relacionadas con la emision de conceptos a cargo de la Subdirección de Gestión del Riesgo._SGR</v>
      </c>
    </row>
    <row r="396" spans="2:35" ht="56" x14ac:dyDescent="0.35">
      <c r="B396" s="97">
        <v>20260363</v>
      </c>
      <c r="C396" s="97" t="s">
        <v>517</v>
      </c>
      <c r="D396" s="97" t="s">
        <v>105</v>
      </c>
      <c r="E396" s="97" t="s">
        <v>363</v>
      </c>
      <c r="F396" s="164" t="s">
        <v>145</v>
      </c>
      <c r="G396" s="164" t="s">
        <v>373</v>
      </c>
      <c r="H396" s="170">
        <v>10</v>
      </c>
      <c r="I396" s="170">
        <v>0</v>
      </c>
      <c r="J396" s="114">
        <v>28000000</v>
      </c>
      <c r="K396" s="121" t="s">
        <v>398</v>
      </c>
      <c r="L396" s="164" t="s">
        <v>156</v>
      </c>
      <c r="M396" s="171" t="s">
        <v>484</v>
      </c>
      <c r="N396" s="97" t="s">
        <v>198</v>
      </c>
      <c r="O396" s="144" t="s">
        <v>887</v>
      </c>
      <c r="P396" s="164" t="s">
        <v>348</v>
      </c>
      <c r="Q396" s="123">
        <v>80111600</v>
      </c>
      <c r="R396" s="171" t="s">
        <v>210</v>
      </c>
      <c r="S396" s="168" t="str">
        <f>MID(PAA[[#This Row],[Meta Proyecto de Inversión]],1,4)</f>
        <v>8173</v>
      </c>
      <c r="T396" s="168" t="str">
        <f>MID(PAA[[#This Row],[Meta Proyecto de Inversión]],6,2)</f>
        <v>1-</v>
      </c>
      <c r="U396" s="172" t="str">
        <f>IFERROR(VLOOKUP(N396,TD!$B$54:$F$58,2,0)," ")</f>
        <v>O230117</v>
      </c>
      <c r="V396" s="172" t="str">
        <f>IFERROR(VLOOKUP(N396,TD!$B$54:$F$58,3,0)," ")</f>
        <v>4503</v>
      </c>
      <c r="W396" s="172">
        <f>IFERROR(VLOOKUP(N396,TD!$B$54:$F$58,4,0)," ")</f>
        <v>20240255</v>
      </c>
      <c r="X396" s="171" t="s">
        <v>170</v>
      </c>
      <c r="Y396" s="172" t="str">
        <f>IFERROR(VLOOKUP(X396,TD!$J$55:$K$68,2,0)," ")</f>
        <v>Servicio de inspecciones técnicas realizadas</v>
      </c>
      <c r="Z396" s="168" t="str">
        <f>CONCATENATE(X396,"-",Y396)</f>
        <v>06-Servicio de inspecciones técnicas realizadas</v>
      </c>
      <c r="AA396" s="171" t="s">
        <v>223</v>
      </c>
      <c r="AB396" s="172" t="str">
        <f>IFERROR(VLOOKUP(AA396,TD!$N$55:$O$70,2,0)," ")</f>
        <v>Servicio prevención y control de incendios</v>
      </c>
      <c r="AC396" s="168" t="str">
        <f>CONCATENATE(AA396,"_",AB396)</f>
        <v>035_Servicio prevención y control de incendios</v>
      </c>
      <c r="AD396" s="168" t="str">
        <f>CONCATENATE(Z396," ",AC396)</f>
        <v>06-Servicio de inspecciones técnicas realizadas 035_Servicio prevención y control de incendios</v>
      </c>
      <c r="AE396" s="172" t="str">
        <f>CONCATENATE(U396,V396,W396,X396,AA396)</f>
        <v>O23011745032024025506035</v>
      </c>
      <c r="AF396" s="172" t="str">
        <f>IFERROR(VLOOKUP(AD396,TD!$J$70:$K$93,2,0)," ")</f>
        <v>PM/0131/0106/45030350255</v>
      </c>
      <c r="AG396" s="114" t="s">
        <v>385</v>
      </c>
      <c r="AH396" s="171" t="s">
        <v>193</v>
      </c>
      <c r="AI396" s="173" t="str">
        <f>CONCATENATE(PAA[[#This Row],[Id Interno]],"-",PAA[[#This Row],[tipo de Contrato (TH talento humano - B/S bienes y/o servicios)]],"-",S396,"-",T396,"-",PAA[[#This Row],[Objeto de la contratación]])</f>
        <v>20260363-TH-8173-1--Prestar  servicios de apoyo tecnico para realizar las inspecciones relacionadas con la emision de conceptos a cargo de la Subdirección de Gestión del Riesgo._SGR</v>
      </c>
    </row>
    <row r="397" spans="2:35" ht="56" x14ac:dyDescent="0.35">
      <c r="B397" s="23">
        <v>20260365</v>
      </c>
      <c r="C397" s="97" t="s">
        <v>512</v>
      </c>
      <c r="D397" s="23" t="s">
        <v>105</v>
      </c>
      <c r="E397" s="23" t="s">
        <v>363</v>
      </c>
      <c r="F397" s="163" t="s">
        <v>144</v>
      </c>
      <c r="G397" s="164" t="s">
        <v>373</v>
      </c>
      <c r="H397" s="165">
        <v>7</v>
      </c>
      <c r="I397" s="165">
        <v>0</v>
      </c>
      <c r="J397" s="122">
        <v>49000000</v>
      </c>
      <c r="K397" s="88" t="s">
        <v>398</v>
      </c>
      <c r="L397" s="163" t="s">
        <v>156</v>
      </c>
      <c r="M397" s="166" t="s">
        <v>484</v>
      </c>
      <c r="N397" s="23" t="s">
        <v>198</v>
      </c>
      <c r="O397" s="144" t="s">
        <v>887</v>
      </c>
      <c r="P397" s="163" t="s">
        <v>348</v>
      </c>
      <c r="Q397" s="53">
        <v>80111600</v>
      </c>
      <c r="R397" s="166" t="s">
        <v>210</v>
      </c>
      <c r="S397" s="166" t="str">
        <f>MID(PAA[[#This Row],[Meta Proyecto de Inversión]],1,4)</f>
        <v>8173</v>
      </c>
      <c r="T397" s="166" t="str">
        <f>MID(PAA[[#This Row],[Meta Proyecto de Inversión]],6,2)</f>
        <v>1-</v>
      </c>
      <c r="U397" s="167" t="str">
        <f>IFERROR(VLOOKUP(N397,TD!$B$54:$F$58,2,0)," ")</f>
        <v>O230117</v>
      </c>
      <c r="V397" s="167" t="str">
        <f>IFERROR(VLOOKUP(N397,TD!$B$54:$F$58,3,0)," ")</f>
        <v>4503</v>
      </c>
      <c r="W397" s="167">
        <f>IFERROR(VLOOKUP(N397,TD!$B$54:$F$58,4,0)," ")</f>
        <v>20240255</v>
      </c>
      <c r="X397" s="166" t="s">
        <v>166</v>
      </c>
      <c r="Y397" s="167" t="str">
        <f>IFERROR(VLOOKUP(X397,TD!$J$55:$K$68,2,0)," ")</f>
        <v>Servicio de capacitaciones en gestión del riesgo de incendios  a la ciudadania.</v>
      </c>
      <c r="Z397" s="168" t="str">
        <f>CONCATENATE(X397,"-",Y397)</f>
        <v>05-Servicio de capacitaciones en gestión del riesgo de incendios  a la ciudadania.</v>
      </c>
      <c r="AA397" s="166" t="s">
        <v>223</v>
      </c>
      <c r="AB397" s="167" t="str">
        <f>IFERROR(VLOOKUP(AA397,TD!$N$55:$O$70,2,0)," ")</f>
        <v>Servicio prevención y control de incendios</v>
      </c>
      <c r="AC397" s="168" t="str">
        <f>CONCATENATE(AA397,"_",AB397)</f>
        <v>035_Servicio prevención y control de incendios</v>
      </c>
      <c r="AD397" s="168" t="str">
        <f>CONCATENATE(Z397," ",AC397)</f>
        <v>05-Servicio de capacitaciones en gestión del riesgo de incendios  a la ciudadania. 035_Servicio prevención y control de incendios</v>
      </c>
      <c r="AE397" s="167" t="str">
        <f>CONCATENATE(U397,V397,W397,X397,AA397)</f>
        <v>O23011745032024025505035</v>
      </c>
      <c r="AF397" s="167" t="str">
        <f>IFERROR(VLOOKUP(AD397,TD!$J$70:$K$93,2,0)," ")</f>
        <v>PM/0131/0105/45030350255</v>
      </c>
      <c r="AG397" s="114" t="s">
        <v>385</v>
      </c>
      <c r="AH397" s="166" t="s">
        <v>193</v>
      </c>
      <c r="AI397" s="169" t="str">
        <f>CONCATENATE(PAA[[#This Row],[Id Interno]],"-",PAA[[#This Row],[tipo de Contrato (TH talento humano - B/S bienes y/o servicios)]],"-",S397,"-",T397,"-",PAA[[#This Row],[Objeto de la contratación]])</f>
        <v>20260365-TH-8173-1--Prestar servicios profesionales para la gestión misional  mediante la estructuración y seguimiento de procesos contractuales y asuntos jurídicos de la Subdirección de Gestión del Riesgo_SGR</v>
      </c>
    </row>
    <row r="398" spans="2:35" ht="56" x14ac:dyDescent="0.35">
      <c r="B398" s="97">
        <v>20260366</v>
      </c>
      <c r="C398" s="97" t="s">
        <v>528</v>
      </c>
      <c r="D398" s="97" t="s">
        <v>105</v>
      </c>
      <c r="E398" s="97" t="s">
        <v>363</v>
      </c>
      <c r="F398" s="164" t="s">
        <v>144</v>
      </c>
      <c r="G398" s="164" t="s">
        <v>373</v>
      </c>
      <c r="H398" s="170">
        <v>10</v>
      </c>
      <c r="I398" s="170">
        <v>0</v>
      </c>
      <c r="J398" s="114">
        <v>44000000</v>
      </c>
      <c r="K398" s="121" t="s">
        <v>398</v>
      </c>
      <c r="L398" s="164" t="s">
        <v>156</v>
      </c>
      <c r="M398" s="171" t="s">
        <v>484</v>
      </c>
      <c r="N398" s="97" t="s">
        <v>198</v>
      </c>
      <c r="O398" s="144" t="s">
        <v>887</v>
      </c>
      <c r="P398" s="164" t="s">
        <v>348</v>
      </c>
      <c r="Q398" s="123">
        <v>80111600</v>
      </c>
      <c r="R398" s="171" t="s">
        <v>215</v>
      </c>
      <c r="S398" s="168" t="str">
        <f>MID(PAA[[#This Row],[Meta Proyecto de Inversión]],1,4)</f>
        <v>8173</v>
      </c>
      <c r="T398" s="168" t="str">
        <f>MID(PAA[[#This Row],[Meta Proyecto de Inversión]],6,2)</f>
        <v>6-</v>
      </c>
      <c r="U398" s="172" t="str">
        <f>IFERROR(VLOOKUP(N398,TD!$B$54:$F$58,2,0)," ")</f>
        <v>O230117</v>
      </c>
      <c r="V398" s="172" t="str">
        <f>IFERROR(VLOOKUP(N398,TD!$B$54:$F$58,3,0)," ")</f>
        <v>4503</v>
      </c>
      <c r="W398" s="172">
        <f>IFERROR(VLOOKUP(N398,TD!$B$54:$F$58,4,0)," ")</f>
        <v>20240255</v>
      </c>
      <c r="X398" s="171">
        <v>16</v>
      </c>
      <c r="Y398" s="172" t="str">
        <f>IFERROR(VLOOKUP(X398,TD!$J$55:$K$68,2,0)," ")</f>
        <v>Servicio de monitoreo y seguimiento para la gestión del riesgo</v>
      </c>
      <c r="Z398" s="168" t="str">
        <f>CONCATENATE(X398,"-",Y398)</f>
        <v>16-Servicio de monitoreo y seguimiento para la gestión del riesgo</v>
      </c>
      <c r="AA398" s="171" t="s">
        <v>224</v>
      </c>
      <c r="AB398" s="172" t="str">
        <f>IFERROR(VLOOKUP(AA398,TD!$N$55:$O$70,2,0)," ")</f>
        <v>Servicio de monitoreo y seguimiento para la gestión del riesgo</v>
      </c>
      <c r="AC398" s="168" t="str">
        <f>CONCATENATE(AA398,"_",AB398)</f>
        <v>018_Servicio de monitoreo y seguimiento para la gestión del riesgo</v>
      </c>
      <c r="AD398" s="168" t="str">
        <f>CONCATENATE(Z398," ",AC398)</f>
        <v>16-Servicio de monitoreo y seguimiento para la gestión del riesgo 018_Servicio de monitoreo y seguimiento para la gestión del riesgo</v>
      </c>
      <c r="AE398" s="172" t="str">
        <f>CONCATENATE(U398,V398,W398,X398,AA398)</f>
        <v>O23011745032024025516018</v>
      </c>
      <c r="AF398" s="172" t="str">
        <f>IFERROR(VLOOKUP(AD398,TD!$J$70:$K$93,2,0)," ")</f>
        <v>PM/0131/0116/45030180255</v>
      </c>
      <c r="AG398" s="114" t="s">
        <v>385</v>
      </c>
      <c r="AH398" s="171" t="s">
        <v>193</v>
      </c>
      <c r="AI398" s="173" t="str">
        <f>CONCATENATE(PAA[[#This Row],[Id Interno]],"-",PAA[[#This Row],[tipo de Contrato (TH talento humano - B/S bienes y/o servicios)]],"-",S398,"-",T398,"-",PAA[[#This Row],[Objeto de la contratación]])</f>
        <v>20260366-TH-8173-6--Prestar servicios profesionales en las actividades de monitoreo del riesgo para la Subdirección de Gestión del Riesgo._SGR</v>
      </c>
    </row>
    <row r="399" spans="2:35" ht="42" x14ac:dyDescent="0.35">
      <c r="B399" s="97">
        <v>20260367</v>
      </c>
      <c r="C399" s="97" t="s">
        <v>519</v>
      </c>
      <c r="D399" s="97" t="s">
        <v>105</v>
      </c>
      <c r="E399" s="97" t="s">
        <v>363</v>
      </c>
      <c r="F399" s="164" t="s">
        <v>144</v>
      </c>
      <c r="G399" s="164" t="s">
        <v>373</v>
      </c>
      <c r="H399" s="170">
        <v>10</v>
      </c>
      <c r="I399" s="170">
        <v>0</v>
      </c>
      <c r="J399" s="114">
        <v>42000000</v>
      </c>
      <c r="K399" s="121" t="s">
        <v>398</v>
      </c>
      <c r="L399" s="164" t="s">
        <v>156</v>
      </c>
      <c r="M399" s="171" t="s">
        <v>484</v>
      </c>
      <c r="N399" s="97" t="s">
        <v>198</v>
      </c>
      <c r="O399" s="144" t="s">
        <v>887</v>
      </c>
      <c r="P399" s="164" t="s">
        <v>348</v>
      </c>
      <c r="Q399" s="123">
        <v>80111600</v>
      </c>
      <c r="R399" s="171" t="s">
        <v>210</v>
      </c>
      <c r="S399" s="168" t="str">
        <f>MID(PAA[[#This Row],[Meta Proyecto de Inversión]],1,4)</f>
        <v>8173</v>
      </c>
      <c r="T399" s="168" t="str">
        <f>MID(PAA[[#This Row],[Meta Proyecto de Inversión]],6,2)</f>
        <v>1-</v>
      </c>
      <c r="U399" s="172" t="str">
        <f>IFERROR(VLOOKUP(N399,TD!$B$54:$F$58,2,0)," ")</f>
        <v>O230117</v>
      </c>
      <c r="V399" s="172" t="str">
        <f>IFERROR(VLOOKUP(N399,TD!$B$54:$F$58,3,0)," ")</f>
        <v>4503</v>
      </c>
      <c r="W399" s="172">
        <f>IFERROR(VLOOKUP(N399,TD!$B$54:$F$58,4,0)," ")</f>
        <v>20240255</v>
      </c>
      <c r="X399" s="171" t="s">
        <v>166</v>
      </c>
      <c r="Y399" s="172" t="str">
        <f>IFERROR(VLOOKUP(X399,TD!$J$55:$K$68,2,0)," ")</f>
        <v>Servicio de capacitaciones en gestión del riesgo de incendios  a la ciudadania.</v>
      </c>
      <c r="Z399" s="168" t="str">
        <f>CONCATENATE(X399,"-",Y399)</f>
        <v>05-Servicio de capacitaciones en gestión del riesgo de incendios  a la ciudadania.</v>
      </c>
      <c r="AA399" s="171" t="s">
        <v>223</v>
      </c>
      <c r="AB399" s="172" t="str">
        <f>IFERROR(VLOOKUP(AA399,TD!$N$55:$O$70,2,0)," ")</f>
        <v>Servicio prevención y control de incendios</v>
      </c>
      <c r="AC399" s="168" t="str">
        <f>CONCATENATE(AA399,"_",AB399)</f>
        <v>035_Servicio prevención y control de incendios</v>
      </c>
      <c r="AD399" s="168" t="str">
        <f>CONCATENATE(Z399," ",AC399)</f>
        <v>05-Servicio de capacitaciones en gestión del riesgo de incendios  a la ciudadania. 035_Servicio prevención y control de incendios</v>
      </c>
      <c r="AE399" s="172" t="str">
        <f>CONCATENATE(U399,V399,W399,X399,AA399)</f>
        <v>O23011745032024025505035</v>
      </c>
      <c r="AF399" s="172" t="str">
        <f>IFERROR(VLOOKUP(AD399,TD!$J$70:$K$93,2,0)," ")</f>
        <v>PM/0131/0105/45030350255</v>
      </c>
      <c r="AG399" s="114" t="s">
        <v>385</v>
      </c>
      <c r="AH399" s="171" t="s">
        <v>193</v>
      </c>
      <c r="AI399" s="173" t="str">
        <f>CONCATENATE(PAA[[#This Row],[Id Interno]],"-",PAA[[#This Row],[tipo de Contrato (TH talento humano - B/S bienes y/o servicios)]],"-",S399,"-",T399,"-",PAA[[#This Row],[Objeto de la contratación]])</f>
        <v>20260367-TH-8173-1--Prestar servicios profesionales liderando las actividades de Programas y Campañas de Prevención para la Subdirección de Gestión del Riesgo._SGR</v>
      </c>
    </row>
    <row r="400" spans="2:35" ht="56" x14ac:dyDescent="0.35">
      <c r="B400" s="97">
        <v>20260368</v>
      </c>
      <c r="C400" s="97" t="s">
        <v>520</v>
      </c>
      <c r="D400" s="97" t="s">
        <v>105</v>
      </c>
      <c r="E400" s="97" t="s">
        <v>363</v>
      </c>
      <c r="F400" s="164" t="s">
        <v>144</v>
      </c>
      <c r="G400" s="164" t="s">
        <v>373</v>
      </c>
      <c r="H400" s="170">
        <v>10</v>
      </c>
      <c r="I400" s="170">
        <v>0</v>
      </c>
      <c r="J400" s="114">
        <v>48000000</v>
      </c>
      <c r="K400" s="121" t="s">
        <v>398</v>
      </c>
      <c r="L400" s="164" t="s">
        <v>156</v>
      </c>
      <c r="M400" s="171" t="s">
        <v>484</v>
      </c>
      <c r="N400" s="97" t="s">
        <v>198</v>
      </c>
      <c r="O400" s="144" t="s">
        <v>887</v>
      </c>
      <c r="P400" s="164" t="s">
        <v>348</v>
      </c>
      <c r="Q400" s="123">
        <v>80111600</v>
      </c>
      <c r="R400" s="171" t="s">
        <v>210</v>
      </c>
      <c r="S400" s="168" t="str">
        <f>MID(PAA[[#This Row],[Meta Proyecto de Inversión]],1,4)</f>
        <v>8173</v>
      </c>
      <c r="T400" s="168" t="str">
        <f>MID(PAA[[#This Row],[Meta Proyecto de Inversión]],6,2)</f>
        <v>1-</v>
      </c>
      <c r="U400" s="172" t="str">
        <f>IFERROR(VLOOKUP(N400,TD!$B$54:$F$58,2,0)," ")</f>
        <v>O230117</v>
      </c>
      <c r="V400" s="172" t="str">
        <f>IFERROR(VLOOKUP(N400,TD!$B$54:$F$58,3,0)," ")</f>
        <v>4503</v>
      </c>
      <c r="W400" s="172">
        <f>IFERROR(VLOOKUP(N400,TD!$B$54:$F$58,4,0)," ")</f>
        <v>20240255</v>
      </c>
      <c r="X400" s="171" t="s">
        <v>166</v>
      </c>
      <c r="Y400" s="172" t="str">
        <f>IFERROR(VLOOKUP(X400,TD!$J$55:$K$68,2,0)," ")</f>
        <v>Servicio de capacitaciones en gestión del riesgo de incendios  a la ciudadania.</v>
      </c>
      <c r="Z400" s="168" t="str">
        <f>CONCATENATE(X400,"-",Y400)</f>
        <v>05-Servicio de capacitaciones en gestión del riesgo de incendios  a la ciudadania.</v>
      </c>
      <c r="AA400" s="171" t="s">
        <v>223</v>
      </c>
      <c r="AB400" s="172" t="str">
        <f>IFERROR(VLOOKUP(AA400,TD!$N$55:$O$70,2,0)," ")</f>
        <v>Servicio prevención y control de incendios</v>
      </c>
      <c r="AC400" s="168" t="str">
        <f>CONCATENATE(AA400,"_",AB400)</f>
        <v>035_Servicio prevención y control de incendios</v>
      </c>
      <c r="AD400" s="168" t="str">
        <f>CONCATENATE(Z400," ",AC400)</f>
        <v>05-Servicio de capacitaciones en gestión del riesgo de incendios  a la ciudadania. 035_Servicio prevención y control de incendios</v>
      </c>
      <c r="AE400" s="172" t="str">
        <f>CONCATENATE(U400,V400,W400,X400,AA400)</f>
        <v>O23011745032024025505035</v>
      </c>
      <c r="AF400" s="172" t="str">
        <f>IFERROR(VLOOKUP(AD400,TD!$J$70:$K$93,2,0)," ")</f>
        <v>PM/0131/0105/45030350255</v>
      </c>
      <c r="AG400" s="114" t="s">
        <v>385</v>
      </c>
      <c r="AH400" s="171" t="s">
        <v>193</v>
      </c>
      <c r="AI400" s="173" t="str">
        <f>CONCATENATE(PAA[[#This Row],[Id Interno]],"-",PAA[[#This Row],[tipo de Contrato (TH talento humano - B/S bienes y/o servicios)]],"-",S400,"-",T400,"-",PAA[[#This Row],[Objeto de la contratación]])</f>
        <v>20260368-TH-8173-1--Prestar servicios profesionales en las actividades de Programas y Campañas de Prevención para la Subdirección de Gestión del Riesgo._SGR</v>
      </c>
    </row>
    <row r="401" spans="2:35" ht="56" x14ac:dyDescent="0.35">
      <c r="B401" s="97">
        <v>20260369</v>
      </c>
      <c r="C401" s="97" t="s">
        <v>520</v>
      </c>
      <c r="D401" s="97" t="s">
        <v>105</v>
      </c>
      <c r="E401" s="97" t="s">
        <v>363</v>
      </c>
      <c r="F401" s="164" t="s">
        <v>144</v>
      </c>
      <c r="G401" s="164" t="s">
        <v>373</v>
      </c>
      <c r="H401" s="170">
        <v>10</v>
      </c>
      <c r="I401" s="170">
        <v>0</v>
      </c>
      <c r="J401" s="114">
        <v>48000000</v>
      </c>
      <c r="K401" s="121" t="s">
        <v>398</v>
      </c>
      <c r="L401" s="164" t="s">
        <v>156</v>
      </c>
      <c r="M401" s="171" t="s">
        <v>484</v>
      </c>
      <c r="N401" s="97" t="s">
        <v>198</v>
      </c>
      <c r="O401" s="144" t="s">
        <v>887</v>
      </c>
      <c r="P401" s="164" t="s">
        <v>348</v>
      </c>
      <c r="Q401" s="123">
        <v>80111600</v>
      </c>
      <c r="R401" s="171" t="s">
        <v>210</v>
      </c>
      <c r="S401" s="168" t="str">
        <f>MID(PAA[[#This Row],[Meta Proyecto de Inversión]],1,4)</f>
        <v>8173</v>
      </c>
      <c r="T401" s="168" t="str">
        <f>MID(PAA[[#This Row],[Meta Proyecto de Inversión]],6,2)</f>
        <v>1-</v>
      </c>
      <c r="U401" s="172" t="str">
        <f>IFERROR(VLOOKUP(N401,TD!$B$54:$F$58,2,0)," ")</f>
        <v>O230117</v>
      </c>
      <c r="V401" s="172" t="str">
        <f>IFERROR(VLOOKUP(N401,TD!$B$54:$F$58,3,0)," ")</f>
        <v>4503</v>
      </c>
      <c r="W401" s="172">
        <f>IFERROR(VLOOKUP(N401,TD!$B$54:$F$58,4,0)," ")</f>
        <v>20240255</v>
      </c>
      <c r="X401" s="171" t="s">
        <v>166</v>
      </c>
      <c r="Y401" s="172" t="str">
        <f>IFERROR(VLOOKUP(X401,TD!$J$55:$K$68,2,0)," ")</f>
        <v>Servicio de capacitaciones en gestión del riesgo de incendios  a la ciudadania.</v>
      </c>
      <c r="Z401" s="168" t="str">
        <f>CONCATENATE(X401,"-",Y401)</f>
        <v>05-Servicio de capacitaciones en gestión del riesgo de incendios  a la ciudadania.</v>
      </c>
      <c r="AA401" s="171" t="s">
        <v>223</v>
      </c>
      <c r="AB401" s="172" t="str">
        <f>IFERROR(VLOOKUP(AA401,TD!$N$55:$O$70,2,0)," ")</f>
        <v>Servicio prevención y control de incendios</v>
      </c>
      <c r="AC401" s="168" t="str">
        <f>CONCATENATE(AA401,"_",AB401)</f>
        <v>035_Servicio prevención y control de incendios</v>
      </c>
      <c r="AD401" s="168" t="str">
        <f>CONCATENATE(Z401," ",AC401)</f>
        <v>05-Servicio de capacitaciones en gestión del riesgo de incendios  a la ciudadania. 035_Servicio prevención y control de incendios</v>
      </c>
      <c r="AE401" s="172" t="str">
        <f>CONCATENATE(U401,V401,W401,X401,AA401)</f>
        <v>O23011745032024025505035</v>
      </c>
      <c r="AF401" s="172" t="str">
        <f>IFERROR(VLOOKUP(AD401,TD!$J$70:$K$93,2,0)," ")</f>
        <v>PM/0131/0105/45030350255</v>
      </c>
      <c r="AG401" s="114" t="s">
        <v>385</v>
      </c>
      <c r="AH401" s="171" t="s">
        <v>193</v>
      </c>
      <c r="AI401" s="173" t="str">
        <f>CONCATENATE(PAA[[#This Row],[Id Interno]],"-",PAA[[#This Row],[tipo de Contrato (TH talento humano - B/S bienes y/o servicios)]],"-",S401,"-",T401,"-",PAA[[#This Row],[Objeto de la contratación]])</f>
        <v>20260369-TH-8173-1--Prestar servicios profesionales en las actividades de Programas y Campañas de Prevención para la Subdirección de Gestión del Riesgo._SGR</v>
      </c>
    </row>
    <row r="402" spans="2:35" ht="56" x14ac:dyDescent="0.35">
      <c r="B402" s="97">
        <v>20260370</v>
      </c>
      <c r="C402" s="97" t="s">
        <v>521</v>
      </c>
      <c r="D402" s="97" t="s">
        <v>105</v>
      </c>
      <c r="E402" s="97" t="s">
        <v>363</v>
      </c>
      <c r="F402" s="164" t="s">
        <v>144</v>
      </c>
      <c r="G402" s="164" t="s">
        <v>373</v>
      </c>
      <c r="H402" s="170">
        <v>10</v>
      </c>
      <c r="I402" s="170">
        <v>0</v>
      </c>
      <c r="J402" s="114">
        <v>32000000</v>
      </c>
      <c r="K402" s="121" t="s">
        <v>398</v>
      </c>
      <c r="L402" s="164" t="s">
        <v>156</v>
      </c>
      <c r="M402" s="171" t="s">
        <v>484</v>
      </c>
      <c r="N402" s="97" t="s">
        <v>198</v>
      </c>
      <c r="O402" s="144" t="s">
        <v>887</v>
      </c>
      <c r="P402" s="164" t="s">
        <v>348</v>
      </c>
      <c r="Q402" s="123">
        <v>80111600</v>
      </c>
      <c r="R402" s="171" t="s">
        <v>210</v>
      </c>
      <c r="S402" s="168" t="str">
        <f>MID(PAA[[#This Row],[Meta Proyecto de Inversión]],1,4)</f>
        <v>8173</v>
      </c>
      <c r="T402" s="168" t="str">
        <f>MID(PAA[[#This Row],[Meta Proyecto de Inversión]],6,2)</f>
        <v>1-</v>
      </c>
      <c r="U402" s="172" t="str">
        <f>IFERROR(VLOOKUP(N402,TD!$B$54:$F$58,2,0)," ")</f>
        <v>O230117</v>
      </c>
      <c r="V402" s="172" t="str">
        <f>IFERROR(VLOOKUP(N402,TD!$B$54:$F$58,3,0)," ")</f>
        <v>4503</v>
      </c>
      <c r="W402" s="172">
        <f>IFERROR(VLOOKUP(N402,TD!$B$54:$F$58,4,0)," ")</f>
        <v>20240255</v>
      </c>
      <c r="X402" s="171" t="s">
        <v>166</v>
      </c>
      <c r="Y402" s="172" t="str">
        <f>IFERROR(VLOOKUP(X402,TD!$J$55:$K$68,2,0)," ")</f>
        <v>Servicio de capacitaciones en gestión del riesgo de incendios  a la ciudadania.</v>
      </c>
      <c r="Z402" s="168" t="str">
        <f>CONCATENATE(X402,"-",Y402)</f>
        <v>05-Servicio de capacitaciones en gestión del riesgo de incendios  a la ciudadania.</v>
      </c>
      <c r="AA402" s="171" t="s">
        <v>223</v>
      </c>
      <c r="AB402" s="172" t="str">
        <f>IFERROR(VLOOKUP(AA402,TD!$N$55:$O$70,2,0)," ")</f>
        <v>Servicio prevención y control de incendios</v>
      </c>
      <c r="AC402" s="168" t="str">
        <f>CONCATENATE(AA402,"_",AB402)</f>
        <v>035_Servicio prevención y control de incendios</v>
      </c>
      <c r="AD402" s="168" t="str">
        <f>CONCATENATE(Z402," ",AC402)</f>
        <v>05-Servicio de capacitaciones en gestión del riesgo de incendios  a la ciudadania. 035_Servicio prevención y control de incendios</v>
      </c>
      <c r="AE402" s="172" t="str">
        <f>CONCATENATE(U402,V402,W402,X402,AA402)</f>
        <v>O23011745032024025505035</v>
      </c>
      <c r="AF402" s="172" t="str">
        <f>IFERROR(VLOOKUP(AD402,TD!$J$70:$K$93,2,0)," ")</f>
        <v>PM/0131/0105/45030350255</v>
      </c>
      <c r="AG402" s="114" t="s">
        <v>385</v>
      </c>
      <c r="AH402" s="171" t="s">
        <v>193</v>
      </c>
      <c r="AI402" s="173" t="str">
        <f>CONCATENATE(PAA[[#This Row],[Id Interno]],"-",PAA[[#This Row],[tipo de Contrato (TH talento humano - B/S bienes y/o servicios)]],"-",S402,"-",T402,"-",PAA[[#This Row],[Objeto de la contratación]])</f>
        <v>20260370-TH-8173-1--Prestar servicios de apoyo en las actividades de Programas y Campañas de Prevención para la Subdirección de Gestión del Riesgo. _SGR</v>
      </c>
    </row>
    <row r="403" spans="2:35" ht="56" x14ac:dyDescent="0.35">
      <c r="B403" s="97">
        <v>20260371</v>
      </c>
      <c r="C403" s="97" t="s">
        <v>521</v>
      </c>
      <c r="D403" s="97" t="s">
        <v>105</v>
      </c>
      <c r="E403" s="97" t="s">
        <v>363</v>
      </c>
      <c r="F403" s="164" t="s">
        <v>144</v>
      </c>
      <c r="G403" s="164" t="s">
        <v>373</v>
      </c>
      <c r="H403" s="170">
        <v>10</v>
      </c>
      <c r="I403" s="170">
        <v>0</v>
      </c>
      <c r="J403" s="114">
        <v>30000000</v>
      </c>
      <c r="K403" s="121" t="s">
        <v>398</v>
      </c>
      <c r="L403" s="164" t="s">
        <v>156</v>
      </c>
      <c r="M403" s="171" t="s">
        <v>484</v>
      </c>
      <c r="N403" s="97" t="s">
        <v>198</v>
      </c>
      <c r="O403" s="144" t="s">
        <v>887</v>
      </c>
      <c r="P403" s="164" t="s">
        <v>348</v>
      </c>
      <c r="Q403" s="123">
        <v>80111600</v>
      </c>
      <c r="R403" s="171" t="s">
        <v>210</v>
      </c>
      <c r="S403" s="168" t="str">
        <f>MID(PAA[[#This Row],[Meta Proyecto de Inversión]],1,4)</f>
        <v>8173</v>
      </c>
      <c r="T403" s="168" t="str">
        <f>MID(PAA[[#This Row],[Meta Proyecto de Inversión]],6,2)</f>
        <v>1-</v>
      </c>
      <c r="U403" s="172" t="str">
        <f>IFERROR(VLOOKUP(N403,TD!$B$54:$F$58,2,0)," ")</f>
        <v>O230117</v>
      </c>
      <c r="V403" s="172" t="str">
        <f>IFERROR(VLOOKUP(N403,TD!$B$54:$F$58,3,0)," ")</f>
        <v>4503</v>
      </c>
      <c r="W403" s="172">
        <f>IFERROR(VLOOKUP(N403,TD!$B$54:$F$58,4,0)," ")</f>
        <v>20240255</v>
      </c>
      <c r="X403" s="171" t="s">
        <v>166</v>
      </c>
      <c r="Y403" s="172" t="str">
        <f>IFERROR(VLOOKUP(X403,TD!$J$55:$K$68,2,0)," ")</f>
        <v>Servicio de capacitaciones en gestión del riesgo de incendios  a la ciudadania.</v>
      </c>
      <c r="Z403" s="168" t="str">
        <f>CONCATENATE(X403,"-",Y403)</f>
        <v>05-Servicio de capacitaciones en gestión del riesgo de incendios  a la ciudadania.</v>
      </c>
      <c r="AA403" s="171" t="s">
        <v>223</v>
      </c>
      <c r="AB403" s="172" t="str">
        <f>IFERROR(VLOOKUP(AA403,TD!$N$55:$O$70,2,0)," ")</f>
        <v>Servicio prevención y control de incendios</v>
      </c>
      <c r="AC403" s="168" t="str">
        <f>CONCATENATE(AA403,"_",AB403)</f>
        <v>035_Servicio prevención y control de incendios</v>
      </c>
      <c r="AD403" s="168" t="str">
        <f>CONCATENATE(Z403," ",AC403)</f>
        <v>05-Servicio de capacitaciones en gestión del riesgo de incendios  a la ciudadania. 035_Servicio prevención y control de incendios</v>
      </c>
      <c r="AE403" s="172" t="str">
        <f>CONCATENATE(U403,V403,W403,X403,AA403)</f>
        <v>O23011745032024025505035</v>
      </c>
      <c r="AF403" s="172" t="str">
        <f>IFERROR(VLOOKUP(AD403,TD!$J$70:$K$93,2,0)," ")</f>
        <v>PM/0131/0105/45030350255</v>
      </c>
      <c r="AG403" s="114" t="s">
        <v>385</v>
      </c>
      <c r="AH403" s="171" t="s">
        <v>193</v>
      </c>
      <c r="AI403" s="173" t="str">
        <f>CONCATENATE(PAA[[#This Row],[Id Interno]],"-",PAA[[#This Row],[tipo de Contrato (TH talento humano - B/S bienes y/o servicios)]],"-",S403,"-",T403,"-",PAA[[#This Row],[Objeto de la contratación]])</f>
        <v>20260371-TH-8173-1--Prestar servicios de apoyo en las actividades de Programas y Campañas de Prevención para la Subdirección de Gestión del Riesgo. _SGR</v>
      </c>
    </row>
    <row r="404" spans="2:35" ht="56" x14ac:dyDescent="0.35">
      <c r="B404" s="97">
        <v>20260372</v>
      </c>
      <c r="C404" s="97" t="s">
        <v>522</v>
      </c>
      <c r="D404" s="97" t="s">
        <v>105</v>
      </c>
      <c r="E404" s="97" t="s">
        <v>363</v>
      </c>
      <c r="F404" s="164" t="s">
        <v>144</v>
      </c>
      <c r="G404" s="164" t="s">
        <v>373</v>
      </c>
      <c r="H404" s="170">
        <v>10</v>
      </c>
      <c r="I404" s="170">
        <v>0</v>
      </c>
      <c r="J404" s="114">
        <v>30400000</v>
      </c>
      <c r="K404" s="121" t="s">
        <v>398</v>
      </c>
      <c r="L404" s="164" t="s">
        <v>156</v>
      </c>
      <c r="M404" s="171" t="s">
        <v>484</v>
      </c>
      <c r="N404" s="97" t="s">
        <v>198</v>
      </c>
      <c r="O404" s="144" t="s">
        <v>887</v>
      </c>
      <c r="P404" s="164" t="s">
        <v>348</v>
      </c>
      <c r="Q404" s="123">
        <v>80111600</v>
      </c>
      <c r="R404" s="171" t="s">
        <v>210</v>
      </c>
      <c r="S404" s="168" t="str">
        <f>MID(PAA[[#This Row],[Meta Proyecto de Inversión]],1,4)</f>
        <v>8173</v>
      </c>
      <c r="T404" s="168" t="str">
        <f>MID(PAA[[#This Row],[Meta Proyecto de Inversión]],6,2)</f>
        <v>1-</v>
      </c>
      <c r="U404" s="172" t="str">
        <f>IFERROR(VLOOKUP(N404,TD!$B$54:$F$58,2,0)," ")</f>
        <v>O230117</v>
      </c>
      <c r="V404" s="172" t="str">
        <f>IFERROR(VLOOKUP(N404,TD!$B$54:$F$58,3,0)," ")</f>
        <v>4503</v>
      </c>
      <c r="W404" s="172">
        <f>IFERROR(VLOOKUP(N404,TD!$B$54:$F$58,4,0)," ")</f>
        <v>20240255</v>
      </c>
      <c r="X404" s="171" t="s">
        <v>166</v>
      </c>
      <c r="Y404" s="172" t="str">
        <f>IFERROR(VLOOKUP(X404,TD!$J$55:$K$68,2,0)," ")</f>
        <v>Servicio de capacitaciones en gestión del riesgo de incendios  a la ciudadania.</v>
      </c>
      <c r="Z404" s="168" t="str">
        <f>CONCATENATE(X404,"-",Y404)</f>
        <v>05-Servicio de capacitaciones en gestión del riesgo de incendios  a la ciudadania.</v>
      </c>
      <c r="AA404" s="171" t="s">
        <v>223</v>
      </c>
      <c r="AB404" s="172" t="str">
        <f>IFERROR(VLOOKUP(AA404,TD!$N$55:$O$70,2,0)," ")</f>
        <v>Servicio prevención y control de incendios</v>
      </c>
      <c r="AC404" s="168" t="str">
        <f>CONCATENATE(AA404,"_",AB404)</f>
        <v>035_Servicio prevención y control de incendios</v>
      </c>
      <c r="AD404" s="168" t="str">
        <f>CONCATENATE(Z404," ",AC404)</f>
        <v>05-Servicio de capacitaciones en gestión del riesgo de incendios  a la ciudadania. 035_Servicio prevención y control de incendios</v>
      </c>
      <c r="AE404" s="172" t="str">
        <f>CONCATENATE(U404,V404,W404,X404,AA404)</f>
        <v>O23011745032024025505035</v>
      </c>
      <c r="AF404" s="172" t="str">
        <f>IFERROR(VLOOKUP(AD404,TD!$J$70:$K$93,2,0)," ")</f>
        <v>PM/0131/0105/45030350255</v>
      </c>
      <c r="AG404" s="114" t="s">
        <v>385</v>
      </c>
      <c r="AH404" s="171" t="s">
        <v>193</v>
      </c>
      <c r="AI404" s="173" t="str">
        <f>CONCATENATE(PAA[[#This Row],[Id Interno]],"-",PAA[[#This Row],[tipo de Contrato (TH talento humano - B/S bienes y/o servicios)]],"-",S404,"-",T404,"-",PAA[[#This Row],[Objeto de la contratación]])</f>
        <v>20260372-TH-8173-1--Prestar servicios apoyo técnico para el desarrollo de los contenidos graficos, piezas comunicativa y de imagen institucional para la Subdirección de Gestión del riesgo._SGR</v>
      </c>
    </row>
    <row r="405" spans="2:35" ht="56" x14ac:dyDescent="0.35">
      <c r="B405" s="97">
        <v>20260373</v>
      </c>
      <c r="C405" s="97" t="s">
        <v>523</v>
      </c>
      <c r="D405" s="97" t="s">
        <v>105</v>
      </c>
      <c r="E405" s="97" t="s">
        <v>363</v>
      </c>
      <c r="F405" s="164" t="s">
        <v>144</v>
      </c>
      <c r="G405" s="164" t="s">
        <v>373</v>
      </c>
      <c r="H405" s="170">
        <v>8</v>
      </c>
      <c r="I405" s="170">
        <v>0</v>
      </c>
      <c r="J405" s="114">
        <v>63000000</v>
      </c>
      <c r="K405" s="121" t="s">
        <v>398</v>
      </c>
      <c r="L405" s="164" t="s">
        <v>156</v>
      </c>
      <c r="M405" s="171" t="s">
        <v>484</v>
      </c>
      <c r="N405" s="97" t="s">
        <v>198</v>
      </c>
      <c r="O405" s="144" t="s">
        <v>887</v>
      </c>
      <c r="P405" s="164" t="s">
        <v>348</v>
      </c>
      <c r="Q405" s="154">
        <v>80111600</v>
      </c>
      <c r="R405" s="171" t="s">
        <v>210</v>
      </c>
      <c r="S405" s="168" t="str">
        <f>MID(PAA[[#This Row],[Meta Proyecto de Inversión]],1,4)</f>
        <v>8173</v>
      </c>
      <c r="T405" s="168" t="str">
        <f>MID(PAA[[#This Row],[Meta Proyecto de Inversión]],6,2)</f>
        <v>1-</v>
      </c>
      <c r="U405" s="172" t="str">
        <f>IFERROR(VLOOKUP(N405,TD!$B$54:$F$58,2,0)," ")</f>
        <v>O230117</v>
      </c>
      <c r="V405" s="172" t="str">
        <f>IFERROR(VLOOKUP(N405,TD!$B$54:$F$58,3,0)," ")</f>
        <v>4503</v>
      </c>
      <c r="W405" s="172">
        <f>IFERROR(VLOOKUP(N405,TD!$B$54:$F$58,4,0)," ")</f>
        <v>20240255</v>
      </c>
      <c r="X405" s="171" t="s">
        <v>166</v>
      </c>
      <c r="Y405" s="172" t="str">
        <f>IFERROR(VLOOKUP(X405,TD!$J$55:$K$68,2,0)," ")</f>
        <v>Servicio de capacitaciones en gestión del riesgo de incendios  a la ciudadania.</v>
      </c>
      <c r="Z405" s="168" t="str">
        <f>CONCATENATE(X405,"-",Y405)</f>
        <v>05-Servicio de capacitaciones en gestión del riesgo de incendios  a la ciudadania.</v>
      </c>
      <c r="AA405" s="171" t="s">
        <v>223</v>
      </c>
      <c r="AB405" s="172" t="str">
        <f>IFERROR(VLOOKUP(AA405,TD!$N$55:$O$70,2,0)," ")</f>
        <v>Servicio prevención y control de incendios</v>
      </c>
      <c r="AC405" s="168" t="str">
        <f>CONCATENATE(AA405,"_",AB405)</f>
        <v>035_Servicio prevención y control de incendios</v>
      </c>
      <c r="AD405" s="168" t="str">
        <f>CONCATENATE(Z405," ",AC405)</f>
        <v>05-Servicio de capacitaciones en gestión del riesgo de incendios  a la ciudadania. 035_Servicio prevención y control de incendios</v>
      </c>
      <c r="AE405" s="172" t="str">
        <f>CONCATENATE(U405,V405,W405,X405,AA405)</f>
        <v>O23011745032024025505035</v>
      </c>
      <c r="AF405" s="172" t="str">
        <f>IFERROR(VLOOKUP(AD405,TD!$J$70:$K$93,2,0)," ")</f>
        <v>PM/0131/0105/45030350255</v>
      </c>
      <c r="AG405" s="114" t="s">
        <v>385</v>
      </c>
      <c r="AH405" s="171" t="s">
        <v>193</v>
      </c>
      <c r="AI405" s="173" t="str">
        <f>CONCATENATE(PAA[[#This Row],[Id Interno]],"-",PAA[[#This Row],[tipo de Contrato (TH talento humano - B/S bienes y/o servicios)]],"-",S405,"-",T405,"-",PAA[[#This Row],[Objeto de la contratación]])</f>
        <v>20260373-TH-8173-1--Prestar servicios profesionales  liderando los procesos de formacion y capacitacion de la subdirección de gestión del riesgo._SGR</v>
      </c>
    </row>
    <row r="406" spans="2:35" ht="56" x14ac:dyDescent="0.35">
      <c r="B406" s="97">
        <v>20260374</v>
      </c>
      <c r="C406" s="97" t="s">
        <v>524</v>
      </c>
      <c r="D406" s="97" t="s">
        <v>105</v>
      </c>
      <c r="E406" s="97" t="s">
        <v>363</v>
      </c>
      <c r="F406" s="164" t="s">
        <v>144</v>
      </c>
      <c r="G406" s="164" t="s">
        <v>373</v>
      </c>
      <c r="H406" s="170">
        <v>10</v>
      </c>
      <c r="I406" s="170">
        <v>0</v>
      </c>
      <c r="J406" s="114">
        <v>49000000</v>
      </c>
      <c r="K406" s="121" t="s">
        <v>398</v>
      </c>
      <c r="L406" s="164" t="s">
        <v>156</v>
      </c>
      <c r="M406" s="171" t="s">
        <v>484</v>
      </c>
      <c r="N406" s="97" t="s">
        <v>198</v>
      </c>
      <c r="O406" s="144" t="s">
        <v>887</v>
      </c>
      <c r="P406" s="164" t="s">
        <v>348</v>
      </c>
      <c r="Q406" s="154">
        <v>80111600</v>
      </c>
      <c r="R406" s="171" t="s">
        <v>210</v>
      </c>
      <c r="S406" s="168" t="str">
        <f>MID(PAA[[#This Row],[Meta Proyecto de Inversión]],1,4)</f>
        <v>8173</v>
      </c>
      <c r="T406" s="168" t="str">
        <f>MID(PAA[[#This Row],[Meta Proyecto de Inversión]],6,2)</f>
        <v>1-</v>
      </c>
      <c r="U406" s="172" t="str">
        <f>IFERROR(VLOOKUP(N406,TD!$B$54:$F$58,2,0)," ")</f>
        <v>O230117</v>
      </c>
      <c r="V406" s="172" t="str">
        <f>IFERROR(VLOOKUP(N406,TD!$B$54:$F$58,3,0)," ")</f>
        <v>4503</v>
      </c>
      <c r="W406" s="172">
        <f>IFERROR(VLOOKUP(N406,TD!$B$54:$F$58,4,0)," ")</f>
        <v>20240255</v>
      </c>
      <c r="X406" s="171" t="s">
        <v>166</v>
      </c>
      <c r="Y406" s="172" t="str">
        <f>IFERROR(VLOOKUP(X406,TD!$J$55:$K$68,2,0)," ")</f>
        <v>Servicio de capacitaciones en gestión del riesgo de incendios  a la ciudadania.</v>
      </c>
      <c r="Z406" s="168" t="str">
        <f>CONCATENATE(X406,"-",Y406)</f>
        <v>05-Servicio de capacitaciones en gestión del riesgo de incendios  a la ciudadania.</v>
      </c>
      <c r="AA406" s="171" t="s">
        <v>223</v>
      </c>
      <c r="AB406" s="172" t="str">
        <f>IFERROR(VLOOKUP(AA406,TD!$N$55:$O$70,2,0)," ")</f>
        <v>Servicio prevención y control de incendios</v>
      </c>
      <c r="AC406" s="168" t="str">
        <f>CONCATENATE(AA406,"_",AB406)</f>
        <v>035_Servicio prevención y control de incendios</v>
      </c>
      <c r="AD406" s="168" t="str">
        <f>CONCATENATE(Z406," ",AC406)</f>
        <v>05-Servicio de capacitaciones en gestión del riesgo de incendios  a la ciudadania. 035_Servicio prevención y control de incendios</v>
      </c>
      <c r="AE406" s="172" t="str">
        <f>CONCATENATE(U406,V406,W406,X406,AA406)</f>
        <v>O23011745032024025505035</v>
      </c>
      <c r="AF406" s="172" t="str">
        <f>IFERROR(VLOOKUP(AD406,TD!$J$70:$K$93,2,0)," ")</f>
        <v>PM/0131/0105/45030350255</v>
      </c>
      <c r="AG406" s="114" t="s">
        <v>385</v>
      </c>
      <c r="AH406" s="171" t="s">
        <v>193</v>
      </c>
      <c r="AI406" s="173" t="str">
        <f>CONCATENATE(PAA[[#This Row],[Id Interno]],"-",PAA[[#This Row],[tipo de Contrato (TH talento humano - B/S bienes y/o servicios)]],"-",S406,"-",T406,"-",PAA[[#This Row],[Objeto de la contratación]])</f>
        <v>20260374-TH-8173-1--Prestar servicios profesionales en los procesos de formacion y capacitacion de la subdirección de gestión del riesgo._SGR</v>
      </c>
    </row>
    <row r="407" spans="2:35" ht="56" x14ac:dyDescent="0.35">
      <c r="B407" s="97">
        <v>20260375</v>
      </c>
      <c r="C407" s="97" t="s">
        <v>525</v>
      </c>
      <c r="D407" s="97" t="s">
        <v>105</v>
      </c>
      <c r="E407" s="97" t="s">
        <v>363</v>
      </c>
      <c r="F407" s="164" t="s">
        <v>144</v>
      </c>
      <c r="G407" s="164" t="s">
        <v>373</v>
      </c>
      <c r="H407" s="170">
        <v>10</v>
      </c>
      <c r="I407" s="170">
        <v>0</v>
      </c>
      <c r="J407" s="114">
        <v>56000000</v>
      </c>
      <c r="K407" s="121" t="s">
        <v>398</v>
      </c>
      <c r="L407" s="164" t="s">
        <v>156</v>
      </c>
      <c r="M407" s="171" t="s">
        <v>484</v>
      </c>
      <c r="N407" s="97" t="s">
        <v>198</v>
      </c>
      <c r="O407" s="144" t="s">
        <v>887</v>
      </c>
      <c r="P407" s="164" t="s">
        <v>348</v>
      </c>
      <c r="Q407" s="154">
        <v>80111600</v>
      </c>
      <c r="R407" s="171" t="s">
        <v>214</v>
      </c>
      <c r="S407" s="168" t="str">
        <f>MID(PAA[[#This Row],[Meta Proyecto de Inversión]],1,4)</f>
        <v>8173</v>
      </c>
      <c r="T407" s="168" t="str">
        <f>MID(PAA[[#This Row],[Meta Proyecto de Inversión]],6,2)</f>
        <v>5-</v>
      </c>
      <c r="U407" s="172" t="str">
        <f>IFERROR(VLOOKUP(N407,TD!$B$54:$F$58,2,0)," ")</f>
        <v>O230117</v>
      </c>
      <c r="V407" s="172" t="str">
        <f>IFERROR(VLOOKUP(N407,TD!$B$54:$F$58,3,0)," ")</f>
        <v>4503</v>
      </c>
      <c r="W407" s="172">
        <f>IFERROR(VLOOKUP(N407,TD!$B$54:$F$58,4,0)," ")</f>
        <v>20240255</v>
      </c>
      <c r="X407" s="171">
        <v>16</v>
      </c>
      <c r="Y407" s="172" t="str">
        <f>IFERROR(VLOOKUP(X407,TD!$J$55:$K$68,2,0)," ")</f>
        <v>Servicio de monitoreo y seguimiento para la gestión del riesgo</v>
      </c>
      <c r="Z407" s="168" t="str">
        <f>CONCATENATE(X407,"-",Y407)</f>
        <v>16-Servicio de monitoreo y seguimiento para la gestión del riesgo</v>
      </c>
      <c r="AA407" s="171" t="s">
        <v>224</v>
      </c>
      <c r="AB407" s="172" t="str">
        <f>IFERROR(VLOOKUP(AA407,TD!$N$55:$O$70,2,0)," ")</f>
        <v>Servicio de monitoreo y seguimiento para la gestión del riesgo</v>
      </c>
      <c r="AC407" s="168" t="str">
        <f>CONCATENATE(AA407,"_",AB407)</f>
        <v>018_Servicio de monitoreo y seguimiento para la gestión del riesgo</v>
      </c>
      <c r="AD407" s="168" t="str">
        <f>CONCATENATE(Z407," ",AC407)</f>
        <v>16-Servicio de monitoreo y seguimiento para la gestión del riesgo 018_Servicio de monitoreo y seguimiento para la gestión del riesgo</v>
      </c>
      <c r="AE407" s="172" t="str">
        <f>CONCATENATE(U407,V407,W407,X407,AA407)</f>
        <v>O23011745032024025516018</v>
      </c>
      <c r="AF407" s="172" t="str">
        <f>IFERROR(VLOOKUP(AD407,TD!$J$70:$K$93,2,0)," ")</f>
        <v>PM/0131/0116/45030180255</v>
      </c>
      <c r="AG407" s="114" t="s">
        <v>385</v>
      </c>
      <c r="AH407" s="171" t="s">
        <v>193</v>
      </c>
      <c r="AI407" s="173" t="str">
        <f>CONCATENATE(PAA[[#This Row],[Id Interno]],"-",PAA[[#This Row],[tipo de Contrato (TH talento humano - B/S bienes y/o servicios)]],"-",S407,"-",T407,"-",PAA[[#This Row],[Objeto de la contratación]])</f>
        <v>20260375-TH-8173-5--Prestar servicios profesionales liderando las actividades de identificacion y caracterizacion  de escenarios  de riesgos a cargo de la Subdirección de Gestión del Riesgo._SGR</v>
      </c>
    </row>
    <row r="408" spans="2:35" ht="42" x14ac:dyDescent="0.35">
      <c r="B408" s="97">
        <v>20260376</v>
      </c>
      <c r="C408" s="97" t="s">
        <v>526</v>
      </c>
      <c r="D408" s="97" t="s">
        <v>105</v>
      </c>
      <c r="E408" s="97" t="s">
        <v>363</v>
      </c>
      <c r="F408" s="164" t="s">
        <v>144</v>
      </c>
      <c r="G408" s="164" t="s">
        <v>373</v>
      </c>
      <c r="H408" s="170">
        <v>10</v>
      </c>
      <c r="I408" s="170">
        <v>0</v>
      </c>
      <c r="J408" s="114">
        <v>44000000</v>
      </c>
      <c r="K408" s="121" t="s">
        <v>398</v>
      </c>
      <c r="L408" s="164" t="s">
        <v>156</v>
      </c>
      <c r="M408" s="171" t="s">
        <v>484</v>
      </c>
      <c r="N408" s="97" t="s">
        <v>198</v>
      </c>
      <c r="O408" s="144" t="s">
        <v>887</v>
      </c>
      <c r="P408" s="164" t="s">
        <v>348</v>
      </c>
      <c r="Q408" s="154">
        <v>80111600</v>
      </c>
      <c r="R408" s="171" t="s">
        <v>214</v>
      </c>
      <c r="S408" s="168" t="str">
        <f>MID(PAA[[#This Row],[Meta Proyecto de Inversión]],1,4)</f>
        <v>8173</v>
      </c>
      <c r="T408" s="168" t="str">
        <f>MID(PAA[[#This Row],[Meta Proyecto de Inversión]],6,2)</f>
        <v>5-</v>
      </c>
      <c r="U408" s="172" t="str">
        <f>IFERROR(VLOOKUP(N408,TD!$B$54:$F$58,2,0)," ")</f>
        <v>O230117</v>
      </c>
      <c r="V408" s="172" t="str">
        <f>IFERROR(VLOOKUP(N408,TD!$B$54:$F$58,3,0)," ")</f>
        <v>4503</v>
      </c>
      <c r="W408" s="172">
        <f>IFERROR(VLOOKUP(N408,TD!$B$54:$F$58,4,0)," ")</f>
        <v>20240255</v>
      </c>
      <c r="X408" s="171">
        <v>16</v>
      </c>
      <c r="Y408" s="172" t="str">
        <f>IFERROR(VLOOKUP(X408,TD!$J$55:$K$68,2,0)," ")</f>
        <v>Servicio de monitoreo y seguimiento para la gestión del riesgo</v>
      </c>
      <c r="Z408" s="168" t="str">
        <f>CONCATENATE(X408,"-",Y408)</f>
        <v>16-Servicio de monitoreo y seguimiento para la gestión del riesgo</v>
      </c>
      <c r="AA408" s="171" t="s">
        <v>224</v>
      </c>
      <c r="AB408" s="172" t="str">
        <f>IFERROR(VLOOKUP(AA408,TD!$N$55:$O$70,2,0)," ")</f>
        <v>Servicio de monitoreo y seguimiento para la gestión del riesgo</v>
      </c>
      <c r="AC408" s="168" t="str">
        <f>CONCATENATE(AA408,"_",AB408)</f>
        <v>018_Servicio de monitoreo y seguimiento para la gestión del riesgo</v>
      </c>
      <c r="AD408" s="168" t="str">
        <f>CONCATENATE(Z408," ",AC408)</f>
        <v>16-Servicio de monitoreo y seguimiento para la gestión del riesgo 018_Servicio de monitoreo y seguimiento para la gestión del riesgo</v>
      </c>
      <c r="AE408" s="172" t="str">
        <f>CONCATENATE(U408,V408,W408,X408,AA408)</f>
        <v>O23011745032024025516018</v>
      </c>
      <c r="AF408" s="172" t="str">
        <f>IFERROR(VLOOKUP(AD408,TD!$J$70:$K$93,2,0)," ")</f>
        <v>PM/0131/0116/45030180255</v>
      </c>
      <c r="AG408" s="114" t="s">
        <v>385</v>
      </c>
      <c r="AH408" s="171" t="s">
        <v>193</v>
      </c>
      <c r="AI408" s="173" t="str">
        <f>CONCATENATE(PAA[[#This Row],[Id Interno]],"-",PAA[[#This Row],[tipo de Contrato (TH talento humano - B/S bienes y/o servicios)]],"-",S408,"-",T408,"-",PAA[[#This Row],[Objeto de la contratación]])</f>
        <v>20260376-TH-8173-5--Prestar servicios profesionales en las actividades de identificacion y caracterizacion  de escenarios  de riesgos a cargo de la Subdirección de Gestión del Riesgo._SGR</v>
      </c>
    </row>
    <row r="409" spans="2:35" ht="42" x14ac:dyDescent="0.35">
      <c r="B409" s="97">
        <v>20260377</v>
      </c>
      <c r="C409" s="97" t="s">
        <v>526</v>
      </c>
      <c r="D409" s="97" t="s">
        <v>105</v>
      </c>
      <c r="E409" s="97" t="s">
        <v>363</v>
      </c>
      <c r="F409" s="164" t="s">
        <v>144</v>
      </c>
      <c r="G409" s="164" t="s">
        <v>373</v>
      </c>
      <c r="H409" s="170">
        <v>10</v>
      </c>
      <c r="I409" s="170">
        <v>0</v>
      </c>
      <c r="J409" s="114">
        <v>44000000</v>
      </c>
      <c r="K409" s="121" t="s">
        <v>398</v>
      </c>
      <c r="L409" s="164" t="s">
        <v>156</v>
      </c>
      <c r="M409" s="171" t="s">
        <v>484</v>
      </c>
      <c r="N409" s="97" t="s">
        <v>198</v>
      </c>
      <c r="O409" s="144" t="s">
        <v>887</v>
      </c>
      <c r="P409" s="164" t="s">
        <v>348</v>
      </c>
      <c r="Q409" s="154">
        <v>80111600</v>
      </c>
      <c r="R409" s="171" t="s">
        <v>214</v>
      </c>
      <c r="S409" s="168" t="str">
        <f>MID(PAA[[#This Row],[Meta Proyecto de Inversión]],1,4)</f>
        <v>8173</v>
      </c>
      <c r="T409" s="168" t="str">
        <f>MID(PAA[[#This Row],[Meta Proyecto de Inversión]],6,2)</f>
        <v>5-</v>
      </c>
      <c r="U409" s="172" t="str">
        <f>IFERROR(VLOOKUP(N409,TD!$B$54:$F$58,2,0)," ")</f>
        <v>O230117</v>
      </c>
      <c r="V409" s="172" t="str">
        <f>IFERROR(VLOOKUP(N409,TD!$B$54:$F$58,3,0)," ")</f>
        <v>4503</v>
      </c>
      <c r="W409" s="172">
        <f>IFERROR(VLOOKUP(N409,TD!$B$54:$F$58,4,0)," ")</f>
        <v>20240255</v>
      </c>
      <c r="X409" s="171">
        <v>16</v>
      </c>
      <c r="Y409" s="172" t="str">
        <f>IFERROR(VLOOKUP(X409,TD!$J$55:$K$68,2,0)," ")</f>
        <v>Servicio de monitoreo y seguimiento para la gestión del riesgo</v>
      </c>
      <c r="Z409" s="168" t="str">
        <f>CONCATENATE(X409,"-",Y409)</f>
        <v>16-Servicio de monitoreo y seguimiento para la gestión del riesgo</v>
      </c>
      <c r="AA409" s="171" t="s">
        <v>224</v>
      </c>
      <c r="AB409" s="172" t="str">
        <f>IFERROR(VLOOKUP(AA409,TD!$N$55:$O$70,2,0)," ")</f>
        <v>Servicio de monitoreo y seguimiento para la gestión del riesgo</v>
      </c>
      <c r="AC409" s="168" t="str">
        <f>CONCATENATE(AA409,"_",AB409)</f>
        <v>018_Servicio de monitoreo y seguimiento para la gestión del riesgo</v>
      </c>
      <c r="AD409" s="168" t="str">
        <f>CONCATENATE(Z409," ",AC409)</f>
        <v>16-Servicio de monitoreo y seguimiento para la gestión del riesgo 018_Servicio de monitoreo y seguimiento para la gestión del riesgo</v>
      </c>
      <c r="AE409" s="172" t="str">
        <f>CONCATENATE(U409,V409,W409,X409,AA409)</f>
        <v>O23011745032024025516018</v>
      </c>
      <c r="AF409" s="172" t="str">
        <f>IFERROR(VLOOKUP(AD409,TD!$J$70:$K$93,2,0)," ")</f>
        <v>PM/0131/0116/45030180255</v>
      </c>
      <c r="AG409" s="114" t="s">
        <v>385</v>
      </c>
      <c r="AH409" s="171" t="s">
        <v>193</v>
      </c>
      <c r="AI409" s="173" t="str">
        <f>CONCATENATE(PAA[[#This Row],[Id Interno]],"-",PAA[[#This Row],[tipo de Contrato (TH talento humano - B/S bienes y/o servicios)]],"-",S409,"-",T409,"-",PAA[[#This Row],[Objeto de la contratación]])</f>
        <v>20260377-TH-8173-5--Prestar servicios profesionales en las actividades de identificacion y caracterizacion  de escenarios  de riesgos a cargo de la Subdirección de Gestión del Riesgo._SGR</v>
      </c>
    </row>
    <row r="410" spans="2:35" ht="42" x14ac:dyDescent="0.35">
      <c r="B410" s="97">
        <v>20260378</v>
      </c>
      <c r="C410" s="97" t="s">
        <v>526</v>
      </c>
      <c r="D410" s="97" t="s">
        <v>105</v>
      </c>
      <c r="E410" s="97" t="s">
        <v>363</v>
      </c>
      <c r="F410" s="164" t="s">
        <v>144</v>
      </c>
      <c r="G410" s="164" t="s">
        <v>373</v>
      </c>
      <c r="H410" s="170">
        <v>10</v>
      </c>
      <c r="I410" s="170">
        <v>0</v>
      </c>
      <c r="J410" s="114">
        <v>44000000</v>
      </c>
      <c r="K410" s="121" t="s">
        <v>398</v>
      </c>
      <c r="L410" s="164" t="s">
        <v>156</v>
      </c>
      <c r="M410" s="171" t="s">
        <v>484</v>
      </c>
      <c r="N410" s="97" t="s">
        <v>198</v>
      </c>
      <c r="O410" s="144" t="s">
        <v>887</v>
      </c>
      <c r="P410" s="164" t="s">
        <v>348</v>
      </c>
      <c r="Q410" s="154">
        <v>80111600</v>
      </c>
      <c r="R410" s="171" t="s">
        <v>214</v>
      </c>
      <c r="S410" s="168" t="str">
        <f>MID(PAA[[#This Row],[Meta Proyecto de Inversión]],1,4)</f>
        <v>8173</v>
      </c>
      <c r="T410" s="168" t="str">
        <f>MID(PAA[[#This Row],[Meta Proyecto de Inversión]],6,2)</f>
        <v>5-</v>
      </c>
      <c r="U410" s="172" t="str">
        <f>IFERROR(VLOOKUP(N410,TD!$B$54:$F$58,2,0)," ")</f>
        <v>O230117</v>
      </c>
      <c r="V410" s="172" t="str">
        <f>IFERROR(VLOOKUP(N410,TD!$B$54:$F$58,3,0)," ")</f>
        <v>4503</v>
      </c>
      <c r="W410" s="172">
        <f>IFERROR(VLOOKUP(N410,TD!$B$54:$F$58,4,0)," ")</f>
        <v>20240255</v>
      </c>
      <c r="X410" s="171">
        <v>16</v>
      </c>
      <c r="Y410" s="172" t="str">
        <f>IFERROR(VLOOKUP(X410,TD!$J$55:$K$68,2,0)," ")</f>
        <v>Servicio de monitoreo y seguimiento para la gestión del riesgo</v>
      </c>
      <c r="Z410" s="168" t="str">
        <f>CONCATENATE(X410,"-",Y410)</f>
        <v>16-Servicio de monitoreo y seguimiento para la gestión del riesgo</v>
      </c>
      <c r="AA410" s="171" t="s">
        <v>224</v>
      </c>
      <c r="AB410" s="172" t="str">
        <f>IFERROR(VLOOKUP(AA410,TD!$N$55:$O$70,2,0)," ")</f>
        <v>Servicio de monitoreo y seguimiento para la gestión del riesgo</v>
      </c>
      <c r="AC410" s="168" t="str">
        <f>CONCATENATE(AA410,"_",AB410)</f>
        <v>018_Servicio de monitoreo y seguimiento para la gestión del riesgo</v>
      </c>
      <c r="AD410" s="168" t="str">
        <f>CONCATENATE(Z410," ",AC410)</f>
        <v>16-Servicio de monitoreo y seguimiento para la gestión del riesgo 018_Servicio de monitoreo y seguimiento para la gestión del riesgo</v>
      </c>
      <c r="AE410" s="172" t="str">
        <f>CONCATENATE(U410,V410,W410,X410,AA410)</f>
        <v>O23011745032024025516018</v>
      </c>
      <c r="AF410" s="172" t="str">
        <f>IFERROR(VLOOKUP(AD410,TD!$J$70:$K$93,2,0)," ")</f>
        <v>PM/0131/0116/45030180255</v>
      </c>
      <c r="AG410" s="114" t="s">
        <v>385</v>
      </c>
      <c r="AH410" s="171" t="s">
        <v>193</v>
      </c>
      <c r="AI410" s="173" t="str">
        <f>CONCATENATE(PAA[[#This Row],[Id Interno]],"-",PAA[[#This Row],[tipo de Contrato (TH talento humano - B/S bienes y/o servicios)]],"-",S410,"-",T410,"-",PAA[[#This Row],[Objeto de la contratación]])</f>
        <v>20260378-TH-8173-5--Prestar servicios profesionales en las actividades de identificacion y caracterizacion  de escenarios  de riesgos a cargo de la Subdirección de Gestión del Riesgo._SGR</v>
      </c>
    </row>
    <row r="411" spans="2:35" ht="42" x14ac:dyDescent="0.35">
      <c r="B411" s="23">
        <v>20260379</v>
      </c>
      <c r="C411" s="97" t="s">
        <v>527</v>
      </c>
      <c r="D411" s="23" t="s">
        <v>105</v>
      </c>
      <c r="E411" s="23" t="s">
        <v>363</v>
      </c>
      <c r="F411" s="163" t="s">
        <v>144</v>
      </c>
      <c r="G411" s="164" t="s">
        <v>373</v>
      </c>
      <c r="H411" s="165">
        <v>8</v>
      </c>
      <c r="I411" s="165">
        <v>0</v>
      </c>
      <c r="J411" s="122">
        <v>72800000</v>
      </c>
      <c r="K411" s="88" t="s">
        <v>398</v>
      </c>
      <c r="L411" s="163" t="s">
        <v>156</v>
      </c>
      <c r="M411" s="166" t="s">
        <v>484</v>
      </c>
      <c r="N411" s="23" t="s">
        <v>198</v>
      </c>
      <c r="O411" s="144" t="s">
        <v>887</v>
      </c>
      <c r="P411" s="163" t="s">
        <v>348</v>
      </c>
      <c r="Q411" s="154">
        <v>80111600</v>
      </c>
      <c r="R411" s="166" t="s">
        <v>215</v>
      </c>
      <c r="S411" s="166" t="str">
        <f>MID(PAA[[#This Row],[Meta Proyecto de Inversión]],1,4)</f>
        <v>8173</v>
      </c>
      <c r="T411" s="166" t="str">
        <f>MID(PAA[[#This Row],[Meta Proyecto de Inversión]],6,2)</f>
        <v>6-</v>
      </c>
      <c r="U411" s="167" t="str">
        <f>IFERROR(VLOOKUP(N411,TD!$B$54:$F$58,2,0)," ")</f>
        <v>O230117</v>
      </c>
      <c r="V411" s="167" t="str">
        <f>IFERROR(VLOOKUP(N411,TD!$B$54:$F$58,3,0)," ")</f>
        <v>4503</v>
      </c>
      <c r="W411" s="167">
        <f>IFERROR(VLOOKUP(N411,TD!$B$54:$F$58,4,0)," ")</f>
        <v>20240255</v>
      </c>
      <c r="X411" s="166">
        <v>16</v>
      </c>
      <c r="Y411" s="167" t="str">
        <f>IFERROR(VLOOKUP(X411,TD!$J$55:$K$68,2,0)," ")</f>
        <v>Servicio de monitoreo y seguimiento para la gestión del riesgo</v>
      </c>
      <c r="Z411" s="168" t="str">
        <f>CONCATENATE(X411,"-",Y411)</f>
        <v>16-Servicio de monitoreo y seguimiento para la gestión del riesgo</v>
      </c>
      <c r="AA411" s="166" t="s">
        <v>224</v>
      </c>
      <c r="AB411" s="167" t="str">
        <f>IFERROR(VLOOKUP(AA411,TD!$N$55:$O$70,2,0)," ")</f>
        <v>Servicio de monitoreo y seguimiento para la gestión del riesgo</v>
      </c>
      <c r="AC411" s="168" t="str">
        <f>CONCATENATE(AA411,"_",AB411)</f>
        <v>018_Servicio de monitoreo y seguimiento para la gestión del riesgo</v>
      </c>
      <c r="AD411" s="168" t="str">
        <f>CONCATENATE(Z411," ",AC411)</f>
        <v>16-Servicio de monitoreo y seguimiento para la gestión del riesgo 018_Servicio de monitoreo y seguimiento para la gestión del riesgo</v>
      </c>
      <c r="AE411" s="167" t="str">
        <f>CONCATENATE(U411,V411,W411,X411,AA411)</f>
        <v>O23011745032024025516018</v>
      </c>
      <c r="AF411" s="167" t="str">
        <f>IFERROR(VLOOKUP(AD411,TD!$J$70:$K$93,2,0)," ")</f>
        <v>PM/0131/0116/45030180255</v>
      </c>
      <c r="AG411" s="114" t="s">
        <v>385</v>
      </c>
      <c r="AH411" s="166" t="s">
        <v>193</v>
      </c>
      <c r="AI411" s="169" t="str">
        <f>CONCATENATE(PAA[[#This Row],[Id Interno]],"-",PAA[[#This Row],[tipo de Contrato (TH talento humano - B/S bienes y/o servicios)]],"-",S411,"-",T411,"-",PAA[[#This Row],[Objeto de la contratación]])</f>
        <v>20260379-TH-8173-6--prestar servicios profesionales liderando las actividades de monitoreo del riesgo de la subdirecion  de gestión del riesgo_SGR</v>
      </c>
    </row>
    <row r="412" spans="2:35" ht="42" x14ac:dyDescent="0.35">
      <c r="B412" s="97">
        <v>20260380</v>
      </c>
      <c r="C412" s="97" t="s">
        <v>528</v>
      </c>
      <c r="D412" s="97" t="s">
        <v>105</v>
      </c>
      <c r="E412" s="97" t="s">
        <v>363</v>
      </c>
      <c r="F412" s="164" t="s">
        <v>144</v>
      </c>
      <c r="G412" s="164" t="s">
        <v>373</v>
      </c>
      <c r="H412" s="170">
        <v>10</v>
      </c>
      <c r="I412" s="170">
        <v>0</v>
      </c>
      <c r="J412" s="114">
        <v>44000000</v>
      </c>
      <c r="K412" s="121" t="s">
        <v>398</v>
      </c>
      <c r="L412" s="164" t="s">
        <v>156</v>
      </c>
      <c r="M412" s="171" t="s">
        <v>484</v>
      </c>
      <c r="N412" s="97" t="s">
        <v>198</v>
      </c>
      <c r="O412" s="144" t="s">
        <v>887</v>
      </c>
      <c r="P412" s="164" t="s">
        <v>348</v>
      </c>
      <c r="Q412" s="154">
        <v>80111600</v>
      </c>
      <c r="R412" s="171" t="s">
        <v>215</v>
      </c>
      <c r="S412" s="168" t="str">
        <f>MID(PAA[[#This Row],[Meta Proyecto de Inversión]],1,4)</f>
        <v>8173</v>
      </c>
      <c r="T412" s="168" t="str">
        <f>MID(PAA[[#This Row],[Meta Proyecto de Inversión]],6,2)</f>
        <v>6-</v>
      </c>
      <c r="U412" s="172" t="str">
        <f>IFERROR(VLOOKUP(N412,TD!$B$54:$F$58,2,0)," ")</f>
        <v>O230117</v>
      </c>
      <c r="V412" s="172" t="str">
        <f>IFERROR(VLOOKUP(N412,TD!$B$54:$F$58,3,0)," ")</f>
        <v>4503</v>
      </c>
      <c r="W412" s="172">
        <f>IFERROR(VLOOKUP(N412,TD!$B$54:$F$58,4,0)," ")</f>
        <v>20240255</v>
      </c>
      <c r="X412" s="171">
        <v>16</v>
      </c>
      <c r="Y412" s="172" t="str">
        <f>IFERROR(VLOOKUP(X412,TD!$J$55:$K$68,2,0)," ")</f>
        <v>Servicio de monitoreo y seguimiento para la gestión del riesgo</v>
      </c>
      <c r="Z412" s="168" t="str">
        <f>CONCATENATE(X412,"-",Y412)</f>
        <v>16-Servicio de monitoreo y seguimiento para la gestión del riesgo</v>
      </c>
      <c r="AA412" s="171" t="s">
        <v>224</v>
      </c>
      <c r="AB412" s="172" t="str">
        <f>IFERROR(VLOOKUP(AA412,TD!$N$55:$O$70,2,0)," ")</f>
        <v>Servicio de monitoreo y seguimiento para la gestión del riesgo</v>
      </c>
      <c r="AC412" s="168" t="str">
        <f>CONCATENATE(AA412,"_",AB412)</f>
        <v>018_Servicio de monitoreo y seguimiento para la gestión del riesgo</v>
      </c>
      <c r="AD412" s="168" t="str">
        <f>CONCATENATE(Z412," ",AC412)</f>
        <v>16-Servicio de monitoreo y seguimiento para la gestión del riesgo 018_Servicio de monitoreo y seguimiento para la gestión del riesgo</v>
      </c>
      <c r="AE412" s="172" t="str">
        <f>CONCATENATE(U412,V412,W412,X412,AA412)</f>
        <v>O23011745032024025516018</v>
      </c>
      <c r="AF412" s="172" t="str">
        <f>IFERROR(VLOOKUP(AD412,TD!$J$70:$K$93,2,0)," ")</f>
        <v>PM/0131/0116/45030180255</v>
      </c>
      <c r="AG412" s="114" t="s">
        <v>385</v>
      </c>
      <c r="AH412" s="171" t="s">
        <v>193</v>
      </c>
      <c r="AI412" s="173" t="str">
        <f>CONCATENATE(PAA[[#This Row],[Id Interno]],"-",PAA[[#This Row],[tipo de Contrato (TH talento humano - B/S bienes y/o servicios)]],"-",S412,"-",T412,"-",PAA[[#This Row],[Objeto de la contratación]])</f>
        <v>20260380-TH-8173-6--Prestar servicios profesionales en las actividades de monitoreo del riesgo para la Subdirección de Gestión del Riesgo._SGR</v>
      </c>
    </row>
    <row r="413" spans="2:35" ht="42" x14ac:dyDescent="0.35">
      <c r="B413" s="97">
        <v>20260381</v>
      </c>
      <c r="C413" s="97" t="s">
        <v>528</v>
      </c>
      <c r="D413" s="97" t="s">
        <v>105</v>
      </c>
      <c r="E413" s="97" t="s">
        <v>363</v>
      </c>
      <c r="F413" s="164" t="s">
        <v>144</v>
      </c>
      <c r="G413" s="164" t="s">
        <v>373</v>
      </c>
      <c r="H413" s="170">
        <v>10</v>
      </c>
      <c r="I413" s="170">
        <v>0</v>
      </c>
      <c r="J413" s="114">
        <v>48000000</v>
      </c>
      <c r="K413" s="121" t="s">
        <v>398</v>
      </c>
      <c r="L413" s="164" t="s">
        <v>156</v>
      </c>
      <c r="M413" s="171" t="s">
        <v>484</v>
      </c>
      <c r="N413" s="97" t="s">
        <v>198</v>
      </c>
      <c r="O413" s="144" t="s">
        <v>887</v>
      </c>
      <c r="P413" s="164" t="s">
        <v>348</v>
      </c>
      <c r="Q413" s="154">
        <v>80111600</v>
      </c>
      <c r="R413" s="171" t="s">
        <v>215</v>
      </c>
      <c r="S413" s="168" t="str">
        <f>MID(PAA[[#This Row],[Meta Proyecto de Inversión]],1,4)</f>
        <v>8173</v>
      </c>
      <c r="T413" s="168" t="str">
        <f>MID(PAA[[#This Row],[Meta Proyecto de Inversión]],6,2)</f>
        <v>6-</v>
      </c>
      <c r="U413" s="172" t="str">
        <f>IFERROR(VLOOKUP(N413,TD!$B$54:$F$58,2,0)," ")</f>
        <v>O230117</v>
      </c>
      <c r="V413" s="172" t="str">
        <f>IFERROR(VLOOKUP(N413,TD!$B$54:$F$58,3,0)," ")</f>
        <v>4503</v>
      </c>
      <c r="W413" s="172">
        <f>IFERROR(VLOOKUP(N413,TD!$B$54:$F$58,4,0)," ")</f>
        <v>20240255</v>
      </c>
      <c r="X413" s="171">
        <v>16</v>
      </c>
      <c r="Y413" s="172" t="str">
        <f>IFERROR(VLOOKUP(X413,TD!$J$55:$K$68,2,0)," ")</f>
        <v>Servicio de monitoreo y seguimiento para la gestión del riesgo</v>
      </c>
      <c r="Z413" s="168" t="str">
        <f>CONCATENATE(X413,"-",Y413)</f>
        <v>16-Servicio de monitoreo y seguimiento para la gestión del riesgo</v>
      </c>
      <c r="AA413" s="171" t="s">
        <v>224</v>
      </c>
      <c r="AB413" s="172" t="str">
        <f>IFERROR(VLOOKUP(AA413,TD!$N$55:$O$70,2,0)," ")</f>
        <v>Servicio de monitoreo y seguimiento para la gestión del riesgo</v>
      </c>
      <c r="AC413" s="168" t="str">
        <f>CONCATENATE(AA413,"_",AB413)</f>
        <v>018_Servicio de monitoreo y seguimiento para la gestión del riesgo</v>
      </c>
      <c r="AD413" s="168" t="str">
        <f>CONCATENATE(Z413," ",AC413)</f>
        <v>16-Servicio de monitoreo y seguimiento para la gestión del riesgo 018_Servicio de monitoreo y seguimiento para la gestión del riesgo</v>
      </c>
      <c r="AE413" s="172" t="str">
        <f>CONCATENATE(U413,V413,W413,X413,AA413)</f>
        <v>O23011745032024025516018</v>
      </c>
      <c r="AF413" s="172" t="str">
        <f>IFERROR(VLOOKUP(AD413,TD!$J$70:$K$93,2,0)," ")</f>
        <v>PM/0131/0116/45030180255</v>
      </c>
      <c r="AG413" s="114" t="s">
        <v>385</v>
      </c>
      <c r="AH413" s="171" t="s">
        <v>193</v>
      </c>
      <c r="AI413" s="173" t="str">
        <f>CONCATENATE(PAA[[#This Row],[Id Interno]],"-",PAA[[#This Row],[tipo de Contrato (TH talento humano - B/S bienes y/o servicios)]],"-",S413,"-",T413,"-",PAA[[#This Row],[Objeto de la contratación]])</f>
        <v>20260381-TH-8173-6--Prestar servicios profesionales en las actividades de monitoreo del riesgo para la Subdirección de Gestión del Riesgo._SGR</v>
      </c>
    </row>
    <row r="414" spans="2:35" ht="42" x14ac:dyDescent="0.35">
      <c r="B414" s="97">
        <v>20260382</v>
      </c>
      <c r="C414" s="97" t="s">
        <v>529</v>
      </c>
      <c r="D414" s="97" t="s">
        <v>105</v>
      </c>
      <c r="E414" s="97" t="s">
        <v>363</v>
      </c>
      <c r="F414" s="164" t="s">
        <v>145</v>
      </c>
      <c r="G414" s="164" t="s">
        <v>373</v>
      </c>
      <c r="H414" s="170">
        <v>10</v>
      </c>
      <c r="I414" s="170">
        <v>0</v>
      </c>
      <c r="J414" s="114">
        <v>32000000</v>
      </c>
      <c r="K414" s="121" t="s">
        <v>398</v>
      </c>
      <c r="L414" s="164" t="s">
        <v>156</v>
      </c>
      <c r="M414" s="171" t="s">
        <v>484</v>
      </c>
      <c r="N414" s="97" t="s">
        <v>198</v>
      </c>
      <c r="O414" s="144" t="s">
        <v>887</v>
      </c>
      <c r="P414" s="164" t="s">
        <v>348</v>
      </c>
      <c r="Q414" s="154">
        <v>80111600</v>
      </c>
      <c r="R414" s="171" t="s">
        <v>215</v>
      </c>
      <c r="S414" s="168" t="str">
        <f>MID(PAA[[#This Row],[Meta Proyecto de Inversión]],1,4)</f>
        <v>8173</v>
      </c>
      <c r="T414" s="168" t="str">
        <f>MID(PAA[[#This Row],[Meta Proyecto de Inversión]],6,2)</f>
        <v>6-</v>
      </c>
      <c r="U414" s="172" t="str">
        <f>IFERROR(VLOOKUP(N414,TD!$B$54:$F$58,2,0)," ")</f>
        <v>O230117</v>
      </c>
      <c r="V414" s="172" t="str">
        <f>IFERROR(VLOOKUP(N414,TD!$B$54:$F$58,3,0)," ")</f>
        <v>4503</v>
      </c>
      <c r="W414" s="172">
        <f>IFERROR(VLOOKUP(N414,TD!$B$54:$F$58,4,0)," ")</f>
        <v>20240255</v>
      </c>
      <c r="X414" s="171">
        <v>16</v>
      </c>
      <c r="Y414" s="172" t="str">
        <f>IFERROR(VLOOKUP(X414,TD!$J$55:$K$68,2,0)," ")</f>
        <v>Servicio de monitoreo y seguimiento para la gestión del riesgo</v>
      </c>
      <c r="Z414" s="168" t="str">
        <f>CONCATENATE(X414,"-",Y414)</f>
        <v>16-Servicio de monitoreo y seguimiento para la gestión del riesgo</v>
      </c>
      <c r="AA414" s="171" t="s">
        <v>224</v>
      </c>
      <c r="AB414" s="172" t="str">
        <f>IFERROR(VLOOKUP(AA414,TD!$N$55:$O$70,2,0)," ")</f>
        <v>Servicio de monitoreo y seguimiento para la gestión del riesgo</v>
      </c>
      <c r="AC414" s="168" t="str">
        <f>CONCATENATE(AA414,"_",AB414)</f>
        <v>018_Servicio de monitoreo y seguimiento para la gestión del riesgo</v>
      </c>
      <c r="AD414" s="168" t="str">
        <f>CONCATENATE(Z414," ",AC414)</f>
        <v>16-Servicio de monitoreo y seguimiento para la gestión del riesgo 018_Servicio de monitoreo y seguimiento para la gestión del riesgo</v>
      </c>
      <c r="AE414" s="172" t="str">
        <f>CONCATENATE(U414,V414,W414,X414,AA414)</f>
        <v>O23011745032024025516018</v>
      </c>
      <c r="AF414" s="172" t="str">
        <f>IFERROR(VLOOKUP(AD414,TD!$J$70:$K$93,2,0)," ")</f>
        <v>PM/0131/0116/45030180255</v>
      </c>
      <c r="AG414" s="114" t="s">
        <v>385</v>
      </c>
      <c r="AH414" s="171" t="s">
        <v>193</v>
      </c>
      <c r="AI414" s="173" t="str">
        <f>CONCATENATE(PAA[[#This Row],[Id Interno]],"-",PAA[[#This Row],[tipo de Contrato (TH talento humano - B/S bienes y/o servicios)]],"-",S414,"-",T414,"-",PAA[[#This Row],[Objeto de la contratación]])</f>
        <v>20260382-TH-8173-6--Prestar servicios  de apoyo en las actividades de monitoreo del riesgo para la Subdirección de Gestión del Riesgo._SGR</v>
      </c>
    </row>
    <row r="415" spans="2:35" ht="42" x14ac:dyDescent="0.35">
      <c r="B415" s="23">
        <v>20260383</v>
      </c>
      <c r="C415" s="97" t="s">
        <v>530</v>
      </c>
      <c r="D415" s="23" t="s">
        <v>105</v>
      </c>
      <c r="E415" s="23" t="s">
        <v>363</v>
      </c>
      <c r="F415" s="163" t="s">
        <v>144</v>
      </c>
      <c r="G415" s="164" t="s">
        <v>373</v>
      </c>
      <c r="H415" s="165">
        <v>8</v>
      </c>
      <c r="I415" s="165">
        <v>0</v>
      </c>
      <c r="J415" s="122">
        <v>72800000</v>
      </c>
      <c r="K415" s="88" t="s">
        <v>398</v>
      </c>
      <c r="L415" s="163" t="s">
        <v>156</v>
      </c>
      <c r="M415" s="166" t="s">
        <v>484</v>
      </c>
      <c r="N415" s="23" t="s">
        <v>198</v>
      </c>
      <c r="O415" s="144" t="s">
        <v>887</v>
      </c>
      <c r="P415" s="163" t="s">
        <v>348</v>
      </c>
      <c r="Q415" s="154">
        <v>80111600</v>
      </c>
      <c r="R415" s="166" t="s">
        <v>214</v>
      </c>
      <c r="S415" s="166" t="str">
        <f>MID(PAA[[#This Row],[Meta Proyecto de Inversión]],1,4)</f>
        <v>8173</v>
      </c>
      <c r="T415" s="166" t="str">
        <f>MID(PAA[[#This Row],[Meta Proyecto de Inversión]],6,2)</f>
        <v>5-</v>
      </c>
      <c r="U415" s="167" t="str">
        <f>IFERROR(VLOOKUP(N415,TD!$B$54:$F$58,2,0)," ")</f>
        <v>O230117</v>
      </c>
      <c r="V415" s="167" t="str">
        <f>IFERROR(VLOOKUP(N415,TD!$B$54:$F$58,3,0)," ")</f>
        <v>4503</v>
      </c>
      <c r="W415" s="167">
        <f>IFERROR(VLOOKUP(N415,TD!$B$54:$F$58,4,0)," ")</f>
        <v>20240255</v>
      </c>
      <c r="X415" s="166">
        <v>16</v>
      </c>
      <c r="Y415" s="167" t="str">
        <f>IFERROR(VLOOKUP(X415,TD!$J$55:$K$68,2,0)," ")</f>
        <v>Servicio de monitoreo y seguimiento para la gestión del riesgo</v>
      </c>
      <c r="Z415" s="168" t="str">
        <f>CONCATENATE(X415,"-",Y415)</f>
        <v>16-Servicio de monitoreo y seguimiento para la gestión del riesgo</v>
      </c>
      <c r="AA415" s="166" t="s">
        <v>224</v>
      </c>
      <c r="AB415" s="167" t="str">
        <f>IFERROR(VLOOKUP(AA415,TD!$N$55:$O$70,2,0)," ")</f>
        <v>Servicio de monitoreo y seguimiento para la gestión del riesgo</v>
      </c>
      <c r="AC415" s="168" t="str">
        <f>CONCATENATE(AA415,"_",AB415)</f>
        <v>018_Servicio de monitoreo y seguimiento para la gestión del riesgo</v>
      </c>
      <c r="AD415" s="168" t="str">
        <f>CONCATENATE(Z415," ",AC415)</f>
        <v>16-Servicio de monitoreo y seguimiento para la gestión del riesgo 018_Servicio de monitoreo y seguimiento para la gestión del riesgo</v>
      </c>
      <c r="AE415" s="167" t="str">
        <f>CONCATENATE(U415,V415,W415,X415,AA415)</f>
        <v>O23011745032024025516018</v>
      </c>
      <c r="AF415" s="167" t="str">
        <f>IFERROR(VLOOKUP(AD415,TD!$J$70:$K$93,2,0)," ")</f>
        <v>PM/0131/0116/45030180255</v>
      </c>
      <c r="AG415" s="114" t="s">
        <v>385</v>
      </c>
      <c r="AH415" s="166" t="s">
        <v>193</v>
      </c>
      <c r="AI415" s="169" t="str">
        <f>CONCATENATE(PAA[[#This Row],[Id Interno]],"-",PAA[[#This Row],[tipo de Contrato (TH talento humano - B/S bienes y/o servicios)]],"-",S415,"-",T415,"-",PAA[[#This Row],[Objeto de la contratación]])</f>
        <v>20260383-TH-8173-5--Prestar  servicios profesionales  liderando las actividades de proyeccion e innovacion para la Subdirección de Gestión del Riesgo._SGR</v>
      </c>
    </row>
    <row r="416" spans="2:35" ht="42" x14ac:dyDescent="0.35">
      <c r="B416" s="23">
        <v>20260384</v>
      </c>
      <c r="C416" s="97" t="s">
        <v>531</v>
      </c>
      <c r="D416" s="23" t="s">
        <v>105</v>
      </c>
      <c r="E416" s="23" t="s">
        <v>363</v>
      </c>
      <c r="F416" s="163" t="s">
        <v>144</v>
      </c>
      <c r="G416" s="164" t="s">
        <v>373</v>
      </c>
      <c r="H416" s="165">
        <v>10</v>
      </c>
      <c r="I416" s="165">
        <v>0</v>
      </c>
      <c r="J416" s="122">
        <v>80000000</v>
      </c>
      <c r="K416" s="88" t="s">
        <v>398</v>
      </c>
      <c r="L416" s="163" t="s">
        <v>156</v>
      </c>
      <c r="M416" s="166" t="s">
        <v>484</v>
      </c>
      <c r="N416" s="23" t="s">
        <v>198</v>
      </c>
      <c r="O416" s="144" t="s">
        <v>887</v>
      </c>
      <c r="P416" s="163" t="s">
        <v>348</v>
      </c>
      <c r="Q416" s="154">
        <v>80111600</v>
      </c>
      <c r="R416" s="166" t="s">
        <v>214</v>
      </c>
      <c r="S416" s="166" t="str">
        <f>MID(PAA[[#This Row],[Meta Proyecto de Inversión]],1,4)</f>
        <v>8173</v>
      </c>
      <c r="T416" s="166" t="str">
        <f>MID(PAA[[#This Row],[Meta Proyecto de Inversión]],6,2)</f>
        <v>5-</v>
      </c>
      <c r="U416" s="167" t="str">
        <f>IFERROR(VLOOKUP(N416,TD!$B$54:$F$58,2,0)," ")</f>
        <v>O230117</v>
      </c>
      <c r="V416" s="167" t="str">
        <f>IFERROR(VLOOKUP(N416,TD!$B$54:$F$58,3,0)," ")</f>
        <v>4503</v>
      </c>
      <c r="W416" s="167">
        <f>IFERROR(VLOOKUP(N416,TD!$B$54:$F$58,4,0)," ")</f>
        <v>20240255</v>
      </c>
      <c r="X416" s="166">
        <v>16</v>
      </c>
      <c r="Y416" s="167" t="str">
        <f>IFERROR(VLOOKUP(X416,TD!$J$55:$K$68,2,0)," ")</f>
        <v>Servicio de monitoreo y seguimiento para la gestión del riesgo</v>
      </c>
      <c r="Z416" s="168" t="str">
        <f>CONCATENATE(X416,"-",Y416)</f>
        <v>16-Servicio de monitoreo y seguimiento para la gestión del riesgo</v>
      </c>
      <c r="AA416" s="166" t="s">
        <v>224</v>
      </c>
      <c r="AB416" s="167" t="str">
        <f>IFERROR(VLOOKUP(AA416,TD!$N$55:$O$70,2,0)," ")</f>
        <v>Servicio de monitoreo y seguimiento para la gestión del riesgo</v>
      </c>
      <c r="AC416" s="168" t="str">
        <f>CONCATENATE(AA416,"_",AB416)</f>
        <v>018_Servicio de monitoreo y seguimiento para la gestión del riesgo</v>
      </c>
      <c r="AD416" s="168" t="str">
        <f>CONCATENATE(Z416," ",AC416)</f>
        <v>16-Servicio de monitoreo y seguimiento para la gestión del riesgo 018_Servicio de monitoreo y seguimiento para la gestión del riesgo</v>
      </c>
      <c r="AE416" s="167" t="str">
        <f>CONCATENATE(U416,V416,W416,X416,AA416)</f>
        <v>O23011745032024025516018</v>
      </c>
      <c r="AF416" s="167" t="str">
        <f>IFERROR(VLOOKUP(AD416,TD!$J$70:$K$93,2,0)," ")</f>
        <v>PM/0131/0116/45030180255</v>
      </c>
      <c r="AG416" s="114" t="s">
        <v>385</v>
      </c>
      <c r="AH416" s="166" t="s">
        <v>193</v>
      </c>
      <c r="AI416" s="169" t="str">
        <f>CONCATENATE(PAA[[#This Row],[Id Interno]],"-",PAA[[#This Row],[tipo de Contrato (TH talento humano - B/S bienes y/o servicios)]],"-",S416,"-",T416,"-",PAA[[#This Row],[Objeto de la contratación]])</f>
        <v>20260384-TH-8173-5--Prestar  servicios profesionales  en las actividades de proyeccion e innovacion para la Subdirección de Gestión del Riesgo._SGR</v>
      </c>
    </row>
    <row r="417" spans="2:35" ht="42" x14ac:dyDescent="0.35">
      <c r="B417" s="97">
        <v>20260385</v>
      </c>
      <c r="C417" s="97" t="s">
        <v>531</v>
      </c>
      <c r="D417" s="97" t="s">
        <v>105</v>
      </c>
      <c r="E417" s="97" t="s">
        <v>363</v>
      </c>
      <c r="F417" s="164" t="s">
        <v>144</v>
      </c>
      <c r="G417" s="164" t="s">
        <v>373</v>
      </c>
      <c r="H417" s="170">
        <v>8</v>
      </c>
      <c r="I417" s="170">
        <v>0</v>
      </c>
      <c r="J417" s="114">
        <v>42000000</v>
      </c>
      <c r="K417" s="121" t="s">
        <v>398</v>
      </c>
      <c r="L417" s="164" t="s">
        <v>156</v>
      </c>
      <c r="M417" s="171" t="s">
        <v>484</v>
      </c>
      <c r="N417" s="97" t="s">
        <v>198</v>
      </c>
      <c r="O417" s="144" t="s">
        <v>887</v>
      </c>
      <c r="P417" s="164" t="s">
        <v>348</v>
      </c>
      <c r="Q417" s="154">
        <v>80111600</v>
      </c>
      <c r="R417" s="171" t="s">
        <v>214</v>
      </c>
      <c r="S417" s="168" t="str">
        <f>MID(PAA[[#This Row],[Meta Proyecto de Inversión]],1,4)</f>
        <v>8173</v>
      </c>
      <c r="T417" s="168" t="str">
        <f>MID(PAA[[#This Row],[Meta Proyecto de Inversión]],6,2)</f>
        <v>5-</v>
      </c>
      <c r="U417" s="172" t="str">
        <f>IFERROR(VLOOKUP(N417,TD!$B$54:$F$58,2,0)," ")</f>
        <v>O230117</v>
      </c>
      <c r="V417" s="172" t="str">
        <f>IFERROR(VLOOKUP(N417,TD!$B$54:$F$58,3,0)," ")</f>
        <v>4503</v>
      </c>
      <c r="W417" s="172">
        <f>IFERROR(VLOOKUP(N417,TD!$B$54:$F$58,4,0)," ")</f>
        <v>20240255</v>
      </c>
      <c r="X417" s="171">
        <v>16</v>
      </c>
      <c r="Y417" s="172" t="str">
        <f>IFERROR(VLOOKUP(X417,TD!$J$55:$K$68,2,0)," ")</f>
        <v>Servicio de monitoreo y seguimiento para la gestión del riesgo</v>
      </c>
      <c r="Z417" s="168" t="str">
        <f>CONCATENATE(X417,"-",Y417)</f>
        <v>16-Servicio de monitoreo y seguimiento para la gestión del riesgo</v>
      </c>
      <c r="AA417" s="171" t="s">
        <v>224</v>
      </c>
      <c r="AB417" s="172" t="str">
        <f>IFERROR(VLOOKUP(AA417,TD!$N$55:$O$70,2,0)," ")</f>
        <v>Servicio de monitoreo y seguimiento para la gestión del riesgo</v>
      </c>
      <c r="AC417" s="168" t="str">
        <f>CONCATENATE(AA417,"_",AB417)</f>
        <v>018_Servicio de monitoreo y seguimiento para la gestión del riesgo</v>
      </c>
      <c r="AD417" s="168" t="str">
        <f>CONCATENATE(Z417," ",AC417)</f>
        <v>16-Servicio de monitoreo y seguimiento para la gestión del riesgo 018_Servicio de monitoreo y seguimiento para la gestión del riesgo</v>
      </c>
      <c r="AE417" s="172" t="str">
        <f>CONCATENATE(U417,V417,W417,X417,AA417)</f>
        <v>O23011745032024025516018</v>
      </c>
      <c r="AF417" s="172" t="str">
        <f>IFERROR(VLOOKUP(AD417,TD!$J$70:$K$93,2,0)," ")</f>
        <v>PM/0131/0116/45030180255</v>
      </c>
      <c r="AG417" s="114" t="s">
        <v>385</v>
      </c>
      <c r="AH417" s="171" t="s">
        <v>193</v>
      </c>
      <c r="AI417" s="173" t="str">
        <f>CONCATENATE(PAA[[#This Row],[Id Interno]],"-",PAA[[#This Row],[tipo de Contrato (TH talento humano - B/S bienes y/o servicios)]],"-",S417,"-",T417,"-",PAA[[#This Row],[Objeto de la contratación]])</f>
        <v>20260385-TH-8173-5--Prestar  servicios profesionales  en las actividades de proyeccion e innovacion para la Subdirección de Gestión del Riesgo._SGR</v>
      </c>
    </row>
    <row r="418" spans="2:35" ht="42" x14ac:dyDescent="0.35">
      <c r="B418" s="23">
        <v>20260386</v>
      </c>
      <c r="C418" s="97" t="s">
        <v>531</v>
      </c>
      <c r="D418" s="23" t="s">
        <v>105</v>
      </c>
      <c r="E418" s="23" t="s">
        <v>363</v>
      </c>
      <c r="F418" s="163" t="s">
        <v>144</v>
      </c>
      <c r="G418" s="164" t="s">
        <v>373</v>
      </c>
      <c r="H418" s="165">
        <v>6</v>
      </c>
      <c r="I418" s="165">
        <v>0</v>
      </c>
      <c r="J418" s="122">
        <v>54000000</v>
      </c>
      <c r="K418" s="88" t="s">
        <v>398</v>
      </c>
      <c r="L418" s="163" t="s">
        <v>156</v>
      </c>
      <c r="M418" s="166" t="s">
        <v>484</v>
      </c>
      <c r="N418" s="23" t="s">
        <v>198</v>
      </c>
      <c r="O418" s="144" t="s">
        <v>887</v>
      </c>
      <c r="P418" s="163" t="s">
        <v>348</v>
      </c>
      <c r="Q418" s="154">
        <v>80111600</v>
      </c>
      <c r="R418" s="166" t="s">
        <v>214</v>
      </c>
      <c r="S418" s="166" t="str">
        <f>MID(PAA[[#This Row],[Meta Proyecto de Inversión]],1,4)</f>
        <v>8173</v>
      </c>
      <c r="T418" s="166" t="str">
        <f>MID(PAA[[#This Row],[Meta Proyecto de Inversión]],6,2)</f>
        <v>5-</v>
      </c>
      <c r="U418" s="167" t="str">
        <f>IFERROR(VLOOKUP(N418,TD!$B$54:$F$58,2,0)," ")</f>
        <v>O230117</v>
      </c>
      <c r="V418" s="167" t="str">
        <f>IFERROR(VLOOKUP(N418,TD!$B$54:$F$58,3,0)," ")</f>
        <v>4503</v>
      </c>
      <c r="W418" s="167">
        <f>IFERROR(VLOOKUP(N418,TD!$B$54:$F$58,4,0)," ")</f>
        <v>20240255</v>
      </c>
      <c r="X418" s="166">
        <v>16</v>
      </c>
      <c r="Y418" s="167" t="str">
        <f>IFERROR(VLOOKUP(X418,TD!$J$55:$K$68,2,0)," ")</f>
        <v>Servicio de monitoreo y seguimiento para la gestión del riesgo</v>
      </c>
      <c r="Z418" s="168" t="str">
        <f>CONCATENATE(X418,"-",Y418)</f>
        <v>16-Servicio de monitoreo y seguimiento para la gestión del riesgo</v>
      </c>
      <c r="AA418" s="166" t="s">
        <v>224</v>
      </c>
      <c r="AB418" s="167" t="str">
        <f>IFERROR(VLOOKUP(AA418,TD!$N$55:$O$70,2,0)," ")</f>
        <v>Servicio de monitoreo y seguimiento para la gestión del riesgo</v>
      </c>
      <c r="AC418" s="168" t="str">
        <f>CONCATENATE(AA418,"_",AB418)</f>
        <v>018_Servicio de monitoreo y seguimiento para la gestión del riesgo</v>
      </c>
      <c r="AD418" s="168" t="str">
        <f>CONCATENATE(Z418," ",AC418)</f>
        <v>16-Servicio de monitoreo y seguimiento para la gestión del riesgo 018_Servicio de monitoreo y seguimiento para la gestión del riesgo</v>
      </c>
      <c r="AE418" s="167" t="str">
        <f>CONCATENATE(U418,V418,W418,X418,AA418)</f>
        <v>O23011745032024025516018</v>
      </c>
      <c r="AF418" s="167" t="str">
        <f>IFERROR(VLOOKUP(AD418,TD!$J$70:$K$93,2,0)," ")</f>
        <v>PM/0131/0116/45030180255</v>
      </c>
      <c r="AG418" s="114" t="s">
        <v>385</v>
      </c>
      <c r="AH418" s="166" t="s">
        <v>193</v>
      </c>
      <c r="AI418" s="169" t="str">
        <f>CONCATENATE(PAA[[#This Row],[Id Interno]],"-",PAA[[#This Row],[tipo de Contrato (TH talento humano - B/S bienes y/o servicios)]],"-",S418,"-",T418,"-",PAA[[#This Row],[Objeto de la contratación]])</f>
        <v>20260386-TH-8173-5--Prestar  servicios profesionales  en las actividades de proyeccion e innovacion para la Subdirección de Gestión del Riesgo._SGR</v>
      </c>
    </row>
    <row r="419" spans="2:35" ht="42" x14ac:dyDescent="0.35">
      <c r="B419" s="23">
        <v>20260387</v>
      </c>
      <c r="C419" s="97" t="s">
        <v>469</v>
      </c>
      <c r="D419" s="23" t="s">
        <v>78</v>
      </c>
      <c r="E419" s="23" t="s">
        <v>402</v>
      </c>
      <c r="F419" s="163" t="s">
        <v>124</v>
      </c>
      <c r="G419" s="164" t="s">
        <v>378</v>
      </c>
      <c r="H419" s="165">
        <v>8</v>
      </c>
      <c r="I419" s="165">
        <v>0</v>
      </c>
      <c r="J419" s="122">
        <v>720000000</v>
      </c>
      <c r="K419" s="88" t="s">
        <v>398</v>
      </c>
      <c r="L419" s="163" t="s">
        <v>156</v>
      </c>
      <c r="M419" s="166" t="s">
        <v>484</v>
      </c>
      <c r="N419" s="23" t="s">
        <v>198</v>
      </c>
      <c r="O419" s="144" t="s">
        <v>887</v>
      </c>
      <c r="P419" s="163" t="s">
        <v>348</v>
      </c>
      <c r="Q419" s="154" t="s">
        <v>505</v>
      </c>
      <c r="R419" s="166" t="s">
        <v>210</v>
      </c>
      <c r="S419" s="166" t="str">
        <f>MID(PAA[[#This Row],[Meta Proyecto de Inversión]],1,4)</f>
        <v>8173</v>
      </c>
      <c r="T419" s="166" t="str">
        <f>MID(PAA[[#This Row],[Meta Proyecto de Inversión]],6,2)</f>
        <v>1-</v>
      </c>
      <c r="U419" s="167" t="str">
        <f>IFERROR(VLOOKUP(N419,TD!$B$54:$F$58,2,0)," ")</f>
        <v>O230117</v>
      </c>
      <c r="V419" s="167" t="str">
        <f>IFERROR(VLOOKUP(N419,TD!$B$54:$F$58,3,0)," ")</f>
        <v>4503</v>
      </c>
      <c r="W419" s="167">
        <f>IFERROR(VLOOKUP(N419,TD!$B$54:$F$58,4,0)," ")</f>
        <v>20240255</v>
      </c>
      <c r="X419" s="166" t="s">
        <v>166</v>
      </c>
      <c r="Y419" s="167" t="str">
        <f>IFERROR(VLOOKUP(X419,TD!$J$55:$K$68,2,0)," ")</f>
        <v>Servicio de capacitaciones en gestión del riesgo de incendios  a la ciudadania.</v>
      </c>
      <c r="Z419" s="168" t="str">
        <f>CONCATENATE(X419,"-",Y419)</f>
        <v>05-Servicio de capacitaciones en gestión del riesgo de incendios  a la ciudadania.</v>
      </c>
      <c r="AA419" s="166" t="s">
        <v>223</v>
      </c>
      <c r="AB419" s="167" t="str">
        <f>IFERROR(VLOOKUP(AA419,TD!$N$55:$O$70,2,0)," ")</f>
        <v>Servicio prevención y control de incendios</v>
      </c>
      <c r="AC419" s="168" t="str">
        <f>CONCATENATE(AA419,"_",AB419)</f>
        <v>035_Servicio prevención y control de incendios</v>
      </c>
      <c r="AD419" s="168" t="str">
        <f>CONCATENATE(Z419," ",AC419)</f>
        <v>05-Servicio de capacitaciones en gestión del riesgo de incendios  a la ciudadania. 035_Servicio prevención y control de incendios</v>
      </c>
      <c r="AE419" s="167" t="str">
        <f>CONCATENATE(U419,V419,W419,X419,AA419)</f>
        <v>O23011745032024025505035</v>
      </c>
      <c r="AF419" s="167" t="str">
        <f>IFERROR(VLOOKUP(AD419,TD!$J$70:$K$93,2,0)," ")</f>
        <v>PM/0131/0105/45030350255</v>
      </c>
      <c r="AG419" s="114" t="s">
        <v>533</v>
      </c>
      <c r="AH419" s="166" t="s">
        <v>193</v>
      </c>
      <c r="AI419" s="169" t="str">
        <f>CONCATENATE(PAA[[#This Row],[Id Interno]],"-",PAA[[#This Row],[tipo de Contrato (TH talento humano - B/S bienes y/o servicios)]],"-",S419,"-",T419,"-",PAA[[#This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420" spans="2:35" ht="70" x14ac:dyDescent="0.35">
      <c r="B420" s="23">
        <v>20260388</v>
      </c>
      <c r="C420" s="97" t="s">
        <v>506</v>
      </c>
      <c r="D420" s="23" t="s">
        <v>88</v>
      </c>
      <c r="E420" s="23" t="s">
        <v>402</v>
      </c>
      <c r="F420" s="163" t="s">
        <v>101</v>
      </c>
      <c r="G420" s="164" t="s">
        <v>379</v>
      </c>
      <c r="H420" s="165">
        <v>3</v>
      </c>
      <c r="I420" s="165">
        <v>0</v>
      </c>
      <c r="J420" s="122">
        <v>107000000</v>
      </c>
      <c r="K420" s="88" t="s">
        <v>398</v>
      </c>
      <c r="L420" s="163" t="s">
        <v>156</v>
      </c>
      <c r="M420" s="166" t="s">
        <v>484</v>
      </c>
      <c r="N420" s="23" t="s">
        <v>198</v>
      </c>
      <c r="O420" s="144" t="s">
        <v>887</v>
      </c>
      <c r="P420" s="163" t="s">
        <v>348</v>
      </c>
      <c r="Q420" s="154" t="s">
        <v>961</v>
      </c>
      <c r="R420" s="166" t="s">
        <v>210</v>
      </c>
      <c r="S420" s="166" t="str">
        <f>MID(PAA[[#This Row],[Meta Proyecto de Inversión]],1,4)</f>
        <v>8173</v>
      </c>
      <c r="T420" s="166" t="str">
        <f>MID(PAA[[#This Row],[Meta Proyecto de Inversión]],6,2)</f>
        <v>1-</v>
      </c>
      <c r="U420" s="167" t="str">
        <f>IFERROR(VLOOKUP(N420,TD!$B$54:$F$58,2,0)," ")</f>
        <v>O230117</v>
      </c>
      <c r="V420" s="167" t="str">
        <f>IFERROR(VLOOKUP(N420,TD!$B$54:$F$58,3,0)," ")</f>
        <v>4503</v>
      </c>
      <c r="W420" s="167">
        <f>IFERROR(VLOOKUP(N420,TD!$B$54:$F$58,4,0)," ")</f>
        <v>20240255</v>
      </c>
      <c r="X420" s="166" t="s">
        <v>166</v>
      </c>
      <c r="Y420" s="167" t="str">
        <f>IFERROR(VLOOKUP(X420,TD!$J$55:$K$68,2,0)," ")</f>
        <v>Servicio de capacitaciones en gestión del riesgo de incendios  a la ciudadania.</v>
      </c>
      <c r="Z420" s="168" t="str">
        <f>CONCATENATE(X420,"-",Y420)</f>
        <v>05-Servicio de capacitaciones en gestión del riesgo de incendios  a la ciudadania.</v>
      </c>
      <c r="AA420" s="166" t="s">
        <v>223</v>
      </c>
      <c r="AB420" s="167" t="str">
        <f>IFERROR(VLOOKUP(AA420,TD!$N$55:$O$70,2,0)," ")</f>
        <v>Servicio prevención y control de incendios</v>
      </c>
      <c r="AC420" s="168" t="str">
        <f>CONCATENATE(AA420,"_",AB420)</f>
        <v>035_Servicio prevención y control de incendios</v>
      </c>
      <c r="AD420" s="168" t="str">
        <f>CONCATENATE(Z420," ",AC420)</f>
        <v>05-Servicio de capacitaciones en gestión del riesgo de incendios  a la ciudadania. 035_Servicio prevención y control de incendios</v>
      </c>
      <c r="AE420" s="167" t="str">
        <f>CONCATENATE(U420,V420,W420,X420,AA420)</f>
        <v>O23011745032024025505035</v>
      </c>
      <c r="AF420" s="167" t="str">
        <f>IFERROR(VLOOKUP(AD420,TD!$J$70:$K$93,2,0)," ")</f>
        <v>PM/0131/0105/45030350255</v>
      </c>
      <c r="AG420" s="114" t="s">
        <v>532</v>
      </c>
      <c r="AH420" s="166" t="s">
        <v>193</v>
      </c>
      <c r="AI420" s="169" t="str">
        <f>CONCATENATE(PAA[[#This Row],[Id Interno]],"-",PAA[[#This Row],[tipo de Contrato (TH talento humano - B/S bienes y/o servicios)]],"-",S420,"-",T420,"-",PAA[[#This Row],[Objeto de la contratación]])</f>
        <v>20260388-BS-8173-1--Adquisición de suministros y elementos de identificación institucional para el fortalecimiento de los procesos misionales de la Subdirección de Gestión del Riesgo_SGR</v>
      </c>
    </row>
    <row r="421" spans="2:35" ht="56" x14ac:dyDescent="0.35">
      <c r="B421" s="23">
        <v>20260390</v>
      </c>
      <c r="C421" s="97" t="s">
        <v>507</v>
      </c>
      <c r="D421" s="23" t="s">
        <v>88</v>
      </c>
      <c r="E421" s="23" t="s">
        <v>402</v>
      </c>
      <c r="F421" s="163" t="s">
        <v>101</v>
      </c>
      <c r="G421" s="164" t="s">
        <v>379</v>
      </c>
      <c r="H421" s="165">
        <v>3</v>
      </c>
      <c r="I421" s="165">
        <v>0</v>
      </c>
      <c r="J421" s="122">
        <v>60000000</v>
      </c>
      <c r="K421" s="88" t="s">
        <v>398</v>
      </c>
      <c r="L421" s="163" t="s">
        <v>156</v>
      </c>
      <c r="M421" s="166" t="s">
        <v>484</v>
      </c>
      <c r="N421" s="23" t="s">
        <v>198</v>
      </c>
      <c r="O421" s="144" t="s">
        <v>887</v>
      </c>
      <c r="P421" s="163" t="s">
        <v>348</v>
      </c>
      <c r="Q421" s="154" t="s">
        <v>962</v>
      </c>
      <c r="R421" s="166" t="s">
        <v>210</v>
      </c>
      <c r="S421" s="166" t="str">
        <f>MID(PAA[[#This Row],[Meta Proyecto de Inversión]],1,4)</f>
        <v>8173</v>
      </c>
      <c r="T421" s="166" t="str">
        <f>MID(PAA[[#This Row],[Meta Proyecto de Inversión]],6,2)</f>
        <v>1-</v>
      </c>
      <c r="U421" s="167" t="str">
        <f>IFERROR(VLOOKUP(N421,TD!$B$54:$F$58,2,0)," ")</f>
        <v>O230117</v>
      </c>
      <c r="V421" s="167" t="str">
        <f>IFERROR(VLOOKUP(N421,TD!$B$54:$F$58,3,0)," ")</f>
        <v>4503</v>
      </c>
      <c r="W421" s="167">
        <f>IFERROR(VLOOKUP(N421,TD!$B$54:$F$58,4,0)," ")</f>
        <v>20240255</v>
      </c>
      <c r="X421" s="166" t="s">
        <v>166</v>
      </c>
      <c r="Y421" s="167" t="str">
        <f>IFERROR(VLOOKUP(X421,TD!$J$55:$K$68,2,0)," ")</f>
        <v>Servicio de capacitaciones en gestión del riesgo de incendios  a la ciudadania.</v>
      </c>
      <c r="Z421" s="168" t="str">
        <f>CONCATENATE(X421,"-",Y421)</f>
        <v>05-Servicio de capacitaciones en gestión del riesgo de incendios  a la ciudadania.</v>
      </c>
      <c r="AA421" s="166" t="s">
        <v>223</v>
      </c>
      <c r="AB421" s="167" t="str">
        <f>IFERROR(VLOOKUP(AA421,TD!$N$55:$O$70,2,0)," ")</f>
        <v>Servicio prevención y control de incendios</v>
      </c>
      <c r="AC421" s="168" t="str">
        <f>CONCATENATE(AA421,"_",AB421)</f>
        <v>035_Servicio prevención y control de incendios</v>
      </c>
      <c r="AD421" s="168" t="str">
        <f>CONCATENATE(Z421," ",AC421)</f>
        <v>05-Servicio de capacitaciones en gestión del riesgo de incendios  a la ciudadania. 035_Servicio prevención y control de incendios</v>
      </c>
      <c r="AE421" s="167" t="str">
        <f>CONCATENATE(U421,V421,W421,X421,AA421)</f>
        <v>O23011745032024025505035</v>
      </c>
      <c r="AF421" s="167" t="str">
        <f>IFERROR(VLOOKUP(AD421,TD!$J$70:$K$93,2,0)," ")</f>
        <v>PM/0131/0105/45030350255</v>
      </c>
      <c r="AG421" s="114" t="s">
        <v>543</v>
      </c>
      <c r="AH421" s="166" t="s">
        <v>193</v>
      </c>
      <c r="AI421" s="169" t="str">
        <f>CONCATENATE(PAA[[#This Row],[Id Interno]],"-",PAA[[#This Row],[tipo de Contrato (TH talento humano - B/S bienes y/o servicios)]],"-",S421,"-",T421,"-",PAA[[#This Row],[Objeto de la contratación]])</f>
        <v>20260390-BS-8173-1--Adquisición de insumos y materias primas para la producción de materiales impresos en artes gráficas_ SGR.</v>
      </c>
    </row>
    <row r="422" spans="2:35" ht="56" x14ac:dyDescent="0.35">
      <c r="B422" s="23">
        <v>20260392</v>
      </c>
      <c r="C422" s="97" t="s">
        <v>631</v>
      </c>
      <c r="D422" s="23" t="s">
        <v>78</v>
      </c>
      <c r="E422" s="23" t="s">
        <v>402</v>
      </c>
      <c r="F422" s="163" t="s">
        <v>89</v>
      </c>
      <c r="G422" s="164" t="s">
        <v>373</v>
      </c>
      <c r="H422" s="165">
        <v>12</v>
      </c>
      <c r="I422" s="165">
        <v>0</v>
      </c>
      <c r="J422" s="122">
        <v>1447882000</v>
      </c>
      <c r="K422" s="88" t="s">
        <v>397</v>
      </c>
      <c r="L422" s="163" t="s">
        <v>155</v>
      </c>
      <c r="M422" s="166" t="s">
        <v>422</v>
      </c>
      <c r="N422" s="23" t="s">
        <v>197</v>
      </c>
      <c r="O422" s="144" t="s">
        <v>886</v>
      </c>
      <c r="P422" s="163" t="s">
        <v>348</v>
      </c>
      <c r="Q422" s="154" t="s">
        <v>722</v>
      </c>
      <c r="R422" s="166" t="s">
        <v>207</v>
      </c>
      <c r="S422" s="166" t="str">
        <f>MID(PAA[[#This Row],[Meta Proyecto de Inversión]],1,4)</f>
        <v>8126</v>
      </c>
      <c r="T422" s="166" t="str">
        <f>MID(PAA[[#This Row],[Meta Proyecto de Inversión]],6,2)</f>
        <v>8-</v>
      </c>
      <c r="U422" s="167" t="str">
        <f>IFERROR(VLOOKUP(N422,TD!$B$54:$F$58,2,0)," ")</f>
        <v>O230117</v>
      </c>
      <c r="V422" s="167" t="str">
        <f>IFERROR(VLOOKUP(N422,TD!$B$54:$F$58,3,0)," ")</f>
        <v>4599</v>
      </c>
      <c r="W422" s="167">
        <f>IFERROR(VLOOKUP(N422,TD!$B$54:$F$58,4,0)," ")</f>
        <v>20240207</v>
      </c>
      <c r="X422" s="166" t="s">
        <v>174</v>
      </c>
      <c r="Y422" s="167" t="str">
        <f>IFERROR(VLOOKUP(X422,TD!$J$55:$K$68,2,0)," ")</f>
        <v>Infraestructura física, mantenimiento y dotación (Sedes construidas, mantenidas reforzadas)</v>
      </c>
      <c r="Z422" s="168" t="str">
        <f>CONCATENATE(X422,"-",Y422)</f>
        <v>08-Infraestructura física, mantenimiento y dotación (Sedes construidas, mantenidas reforzadas)</v>
      </c>
      <c r="AA422" s="166" t="s">
        <v>227</v>
      </c>
      <c r="AB422" s="167" t="str">
        <f>IFERROR(VLOOKUP(AA422,TD!$N$55:$O$70,2,0)," ")</f>
        <v>Sedes mantenidas</v>
      </c>
      <c r="AC422" s="168" t="str">
        <f>CONCATENATE(AA422,"_",AB422)</f>
        <v>016_Sedes mantenidas</v>
      </c>
      <c r="AD422" s="168" t="str">
        <f>CONCATENATE(Z422," ",AC422)</f>
        <v>08-Infraestructura física, mantenimiento y dotación (Sedes construidas, mantenidas reforzadas) 016_Sedes mantenidas</v>
      </c>
      <c r="AE422" s="167" t="str">
        <f>CONCATENATE(U422,V422,W422,X422,AA422)</f>
        <v>O23011745992024020708016</v>
      </c>
      <c r="AF422" s="167" t="str">
        <f>IFERROR(VLOOKUP(AD422,TD!$J$70:$K$93,2,0)," ")</f>
        <v>PM/0131/0108/45990160207</v>
      </c>
      <c r="AG422" s="114" t="s">
        <v>132</v>
      </c>
      <c r="AH422" s="166" t="s">
        <v>193</v>
      </c>
      <c r="AI422" s="169" t="str">
        <f>CONCATENATE(PAA[[#This Row],[Id Interno]],"-",PAA[[#This Row],[tipo de Contrato (TH talento humano - B/S bienes y/o servicios)]],"-",S422,"-",T422,"-",PAA[[#This Row],[Objeto de la contratación]])</f>
        <v>20260392-BS-8126-8--Prestar el servicio de vigilancia y seguridad privada en la modalidad de vigilancia fija, según especificaciones técnicas, en las instalaciones donde la UAE Especial Cuerpo Oficial de Bomberos requiera-SGC</v>
      </c>
    </row>
    <row r="423" spans="2:35" ht="56" x14ac:dyDescent="0.35">
      <c r="B423" s="23">
        <v>20260393</v>
      </c>
      <c r="C423" s="97" t="s">
        <v>632</v>
      </c>
      <c r="D423" s="23" t="s">
        <v>78</v>
      </c>
      <c r="E423" s="23" t="s">
        <v>402</v>
      </c>
      <c r="F423" s="163" t="s">
        <v>97</v>
      </c>
      <c r="G423" s="164" t="s">
        <v>373</v>
      </c>
      <c r="H423" s="165">
        <v>18</v>
      </c>
      <c r="I423" s="165">
        <v>0</v>
      </c>
      <c r="J423" s="122">
        <f>4336206000</f>
        <v>4336206000</v>
      </c>
      <c r="K423" s="88" t="s">
        <v>397</v>
      </c>
      <c r="L423" s="163" t="s">
        <v>155</v>
      </c>
      <c r="M423" s="166" t="s">
        <v>422</v>
      </c>
      <c r="N423" s="23" t="s">
        <v>198</v>
      </c>
      <c r="O423" s="144" t="s">
        <v>887</v>
      </c>
      <c r="P423" s="163" t="s">
        <v>534</v>
      </c>
      <c r="Q423" s="154" t="s">
        <v>723</v>
      </c>
      <c r="R423" s="166" t="s">
        <v>216</v>
      </c>
      <c r="S423" s="166" t="str">
        <f>MID(PAA[[#This Row],[Meta Proyecto de Inversión]],1,4)</f>
        <v>8173</v>
      </c>
      <c r="T423" s="166" t="str">
        <f>MID(PAA[[#This Row],[Meta Proyecto de Inversión]],6,2)</f>
        <v>7-</v>
      </c>
      <c r="U423" s="167" t="str">
        <f>IFERROR(VLOOKUP(N423,TD!$B$54:$F$58,2,0)," ")</f>
        <v>O230117</v>
      </c>
      <c r="V423" s="167" t="str">
        <f>IFERROR(VLOOKUP(N423,TD!$B$54:$F$58,3,0)," ")</f>
        <v>4503</v>
      </c>
      <c r="W423" s="167">
        <f>IFERROR(VLOOKUP(N423,TD!$B$54:$F$58,4,0)," ")</f>
        <v>20240255</v>
      </c>
      <c r="X423" s="166">
        <v>14</v>
      </c>
      <c r="Y423" s="167" t="str">
        <f>IFERROR(VLOOKUP(X423,TD!$J$55:$K$68,2,0)," ")</f>
        <v xml:space="preserve">Infraestructura física misional construida mantenida y dotada </v>
      </c>
      <c r="Z423" s="168" t="str">
        <f>CONCATENATE(X423,"-",Y423)</f>
        <v xml:space="preserve">14-Infraestructura física misional construida mantenida y dotada </v>
      </c>
      <c r="AA423" s="166" t="s">
        <v>225</v>
      </c>
      <c r="AB423" s="167" t="str">
        <f>IFERROR(VLOOKUP(AA423,TD!$N$55:$O$70,2,0)," ")</f>
        <v>Estaciones de bomberos adecuadas</v>
      </c>
      <c r="AC423" s="168" t="str">
        <f>CONCATENATE(AA423,"_",AB423)</f>
        <v>014_Estaciones de bomberos adecuadas</v>
      </c>
      <c r="AD423" s="168" t="str">
        <f>CONCATENATE(Z423," ",AC423)</f>
        <v>14-Infraestructura física misional construida mantenida y dotada  014_Estaciones de bomberos adecuadas</v>
      </c>
      <c r="AE423" s="167" t="str">
        <f>CONCATENATE(U423,V423,W423,X423,AA423)</f>
        <v>O23011745032024025514014</v>
      </c>
      <c r="AF423" s="167" t="str">
        <f>IFERROR(VLOOKUP(AD423,TD!$J$70:$K$93,2,0)," ")</f>
        <v>PM/0131/0114/45030140255</v>
      </c>
      <c r="AG423" s="114" t="s">
        <v>94</v>
      </c>
      <c r="AH423" s="166" t="s">
        <v>193</v>
      </c>
      <c r="AI423" s="169" t="str">
        <f>CONCATENATE(PAA[[#This Row],[Id Interno]],"-",PAA[[#This Row],[tipo de Contrato (TH talento humano - B/S bienes y/o servicios)]],"-",S423,"-",T423,"-",PAA[[#This Row],[Objeto de la contratación]])</f>
        <v>20260393-BS-8173-7--Construcción de la estación de bomberos Caobos Salazar  B13 - de la UAE Cuerpo Oficial de Bomberos de Bogotá – SGC</v>
      </c>
    </row>
    <row r="424" spans="2:35" ht="42" x14ac:dyDescent="0.35">
      <c r="B424" s="23">
        <v>20260394</v>
      </c>
      <c r="C424" s="97" t="s">
        <v>633</v>
      </c>
      <c r="D424" s="23" t="s">
        <v>100</v>
      </c>
      <c r="E424" s="23" t="s">
        <v>402</v>
      </c>
      <c r="F424" s="163" t="s">
        <v>131</v>
      </c>
      <c r="G424" s="164" t="s">
        <v>373</v>
      </c>
      <c r="H424" s="165">
        <v>18</v>
      </c>
      <c r="I424" s="165">
        <v>0</v>
      </c>
      <c r="J424" s="122">
        <v>831592000</v>
      </c>
      <c r="K424" s="88" t="s">
        <v>397</v>
      </c>
      <c r="L424" s="163" t="s">
        <v>155</v>
      </c>
      <c r="M424" s="166" t="s">
        <v>422</v>
      </c>
      <c r="N424" s="23" t="s">
        <v>198</v>
      </c>
      <c r="O424" s="144" t="s">
        <v>887</v>
      </c>
      <c r="P424" s="163" t="s">
        <v>534</v>
      </c>
      <c r="Q424" s="154" t="s">
        <v>724</v>
      </c>
      <c r="R424" s="166" t="s">
        <v>216</v>
      </c>
      <c r="S424" s="166" t="str">
        <f>MID(PAA[[#This Row],[Meta Proyecto de Inversión]],1,4)</f>
        <v>8173</v>
      </c>
      <c r="T424" s="166" t="str">
        <f>MID(PAA[[#This Row],[Meta Proyecto de Inversión]],6,2)</f>
        <v>7-</v>
      </c>
      <c r="U424" s="167" t="str">
        <f>IFERROR(VLOOKUP(N424,TD!$B$54:$F$58,2,0)," ")</f>
        <v>O230117</v>
      </c>
      <c r="V424" s="167" t="str">
        <f>IFERROR(VLOOKUP(N424,TD!$B$54:$F$58,3,0)," ")</f>
        <v>4503</v>
      </c>
      <c r="W424" s="167">
        <f>IFERROR(VLOOKUP(N424,TD!$B$54:$F$58,4,0)," ")</f>
        <v>20240255</v>
      </c>
      <c r="X424" s="166">
        <v>14</v>
      </c>
      <c r="Y424" s="167" t="str">
        <f>IFERROR(VLOOKUP(X424,TD!$J$55:$K$68,2,0)," ")</f>
        <v xml:space="preserve">Infraestructura física misional construida mantenida y dotada </v>
      </c>
      <c r="Z424" s="168" t="str">
        <f>CONCATENATE(X424,"-",Y424)</f>
        <v xml:space="preserve">14-Infraestructura física misional construida mantenida y dotada </v>
      </c>
      <c r="AA424" s="166" t="s">
        <v>225</v>
      </c>
      <c r="AB424" s="167" t="str">
        <f>IFERROR(VLOOKUP(AA424,TD!$N$55:$O$70,2,0)," ")</f>
        <v>Estaciones de bomberos adecuadas</v>
      </c>
      <c r="AC424" s="168" t="str">
        <f>CONCATENATE(AA424,"_",AB424)</f>
        <v>014_Estaciones de bomberos adecuadas</v>
      </c>
      <c r="AD424" s="168" t="str">
        <f>CONCATENATE(Z424," ",AC424)</f>
        <v>14-Infraestructura física misional construida mantenida y dotada  014_Estaciones de bomberos adecuadas</v>
      </c>
      <c r="AE424" s="167" t="str">
        <f>CONCATENATE(U424,V424,W424,X424,AA424)</f>
        <v>O23011745032024025514014</v>
      </c>
      <c r="AF424" s="167" t="str">
        <f>IFERROR(VLOOKUP(AD424,TD!$J$70:$K$93,2,0)," ")</f>
        <v>PM/0131/0114/45030140255</v>
      </c>
      <c r="AG424" s="114" t="s">
        <v>94</v>
      </c>
      <c r="AH424" s="166" t="s">
        <v>193</v>
      </c>
      <c r="AI424" s="169" t="str">
        <f>CONCATENATE(PAA[[#This Row],[Id Interno]],"-",PAA[[#This Row],[tipo de Contrato (TH talento humano - B/S bienes y/o servicios)]],"-",S424,"-",T424,"-",PAA[[#This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425" spans="2:35" ht="70" x14ac:dyDescent="0.35">
      <c r="B425" s="23">
        <v>20260395</v>
      </c>
      <c r="C425" s="97" t="s">
        <v>634</v>
      </c>
      <c r="D425" s="23" t="s">
        <v>105</v>
      </c>
      <c r="E425" s="23" t="s">
        <v>363</v>
      </c>
      <c r="F425" s="163" t="s">
        <v>144</v>
      </c>
      <c r="G425" s="164" t="s">
        <v>373</v>
      </c>
      <c r="H425" s="165">
        <v>11</v>
      </c>
      <c r="I425" s="165">
        <v>0</v>
      </c>
      <c r="J425" s="122">
        <v>81102791</v>
      </c>
      <c r="K425" s="88" t="s">
        <v>398</v>
      </c>
      <c r="L425" s="163" t="s">
        <v>155</v>
      </c>
      <c r="M425" s="166" t="s">
        <v>422</v>
      </c>
      <c r="N425" s="23" t="s">
        <v>198</v>
      </c>
      <c r="O425" s="144" t="s">
        <v>887</v>
      </c>
      <c r="P425" s="163" t="s">
        <v>348</v>
      </c>
      <c r="Q425" s="154" t="s">
        <v>725</v>
      </c>
      <c r="R425" s="166" t="s">
        <v>216</v>
      </c>
      <c r="S425" s="166" t="str">
        <f>MID(PAA[[#This Row],[Meta Proyecto de Inversión]],1,4)</f>
        <v>8173</v>
      </c>
      <c r="T425" s="166" t="str">
        <f>MID(PAA[[#This Row],[Meta Proyecto de Inversión]],6,2)</f>
        <v>7-</v>
      </c>
      <c r="U425" s="167" t="str">
        <f>IFERROR(VLOOKUP(N425,TD!$B$54:$F$58,2,0)," ")</f>
        <v>O230117</v>
      </c>
      <c r="V425" s="167" t="str">
        <f>IFERROR(VLOOKUP(N425,TD!$B$54:$F$58,3,0)," ")</f>
        <v>4503</v>
      </c>
      <c r="W425" s="167">
        <f>IFERROR(VLOOKUP(N425,TD!$B$54:$F$58,4,0)," ")</f>
        <v>20240255</v>
      </c>
      <c r="X425" s="166">
        <v>14</v>
      </c>
      <c r="Y425" s="167" t="str">
        <f>IFERROR(VLOOKUP(X425,TD!$J$55:$K$68,2,0)," ")</f>
        <v xml:space="preserve">Infraestructura física misional construida mantenida y dotada </v>
      </c>
      <c r="Z425" s="168" t="str">
        <f>CONCATENATE(X425,"-",Y425)</f>
        <v xml:space="preserve">14-Infraestructura física misional construida mantenida y dotada </v>
      </c>
      <c r="AA425" s="166" t="s">
        <v>225</v>
      </c>
      <c r="AB425" s="167" t="str">
        <f>IFERROR(VLOOKUP(AA425,TD!$N$55:$O$70,2,0)," ")</f>
        <v>Estaciones de bomberos adecuadas</v>
      </c>
      <c r="AC425" s="168" t="str">
        <f>CONCATENATE(AA425,"_",AB425)</f>
        <v>014_Estaciones de bomberos adecuadas</v>
      </c>
      <c r="AD425" s="168" t="str">
        <f>CONCATENATE(Z425," ",AC425)</f>
        <v>14-Infraestructura física misional construida mantenida y dotada  014_Estaciones de bomberos adecuadas</v>
      </c>
      <c r="AE425" s="167" t="str">
        <f>CONCATENATE(U425,V425,W425,X425,AA425)</f>
        <v>O23011745032024025514014</v>
      </c>
      <c r="AF425" s="167" t="str">
        <f>IFERROR(VLOOKUP(AD425,TD!$J$70:$K$93,2,0)," ")</f>
        <v>PM/0131/0114/45030140255</v>
      </c>
      <c r="AG425" s="114" t="s">
        <v>385</v>
      </c>
      <c r="AH425" s="166" t="s">
        <v>193</v>
      </c>
      <c r="AI425" s="169" t="str">
        <f>CONCATENATE(PAA[[#This Row],[Id Interno]],"-",PAA[[#This Row],[tipo de Contrato (TH talento humano - B/S bienes y/o servicios)]],"-",S425,"-",T425,"-",PAA[[#This Row],[Objeto de la contratación]])</f>
        <v>20260395-TH-8173-7--Prestación de servicios profesionales para apoyar a la supervisión con las actividades técnicas del Área de Infraestructura de la Subdirección de Gestión Corporativa-SGC</v>
      </c>
    </row>
    <row r="426" spans="2:35" ht="42" x14ac:dyDescent="0.35">
      <c r="B426" s="23">
        <v>20260396</v>
      </c>
      <c r="C426" s="97" t="s">
        <v>635</v>
      </c>
      <c r="D426" s="23" t="s">
        <v>105</v>
      </c>
      <c r="E426" s="23" t="s">
        <v>363</v>
      </c>
      <c r="F426" s="163" t="s">
        <v>144</v>
      </c>
      <c r="G426" s="164" t="s">
        <v>373</v>
      </c>
      <c r="H426" s="165">
        <v>11</v>
      </c>
      <c r="I426" s="165">
        <v>0</v>
      </c>
      <c r="J426" s="122">
        <v>99000000</v>
      </c>
      <c r="K426" s="88" t="s">
        <v>398</v>
      </c>
      <c r="L426" s="163" t="s">
        <v>155</v>
      </c>
      <c r="M426" s="166" t="s">
        <v>422</v>
      </c>
      <c r="N426" s="23" t="s">
        <v>198</v>
      </c>
      <c r="O426" s="144" t="s">
        <v>887</v>
      </c>
      <c r="P426" s="163" t="s">
        <v>348</v>
      </c>
      <c r="Q426" s="154" t="s">
        <v>725</v>
      </c>
      <c r="R426" s="166" t="s">
        <v>216</v>
      </c>
      <c r="S426" s="166" t="str">
        <f>MID(PAA[[#This Row],[Meta Proyecto de Inversión]],1,4)</f>
        <v>8173</v>
      </c>
      <c r="T426" s="166" t="str">
        <f>MID(PAA[[#This Row],[Meta Proyecto de Inversión]],6,2)</f>
        <v>7-</v>
      </c>
      <c r="U426" s="167" t="str">
        <f>IFERROR(VLOOKUP(N426,TD!$B$54:$F$58,2,0)," ")</f>
        <v>O230117</v>
      </c>
      <c r="V426" s="167" t="str">
        <f>IFERROR(VLOOKUP(N426,TD!$B$54:$F$58,3,0)," ")</f>
        <v>4503</v>
      </c>
      <c r="W426" s="167">
        <f>IFERROR(VLOOKUP(N426,TD!$B$54:$F$58,4,0)," ")</f>
        <v>20240255</v>
      </c>
      <c r="X426" s="166">
        <v>14</v>
      </c>
      <c r="Y426" s="167" t="str">
        <f>IFERROR(VLOOKUP(X426,TD!$J$55:$K$68,2,0)," ")</f>
        <v xml:space="preserve">Infraestructura física misional construida mantenida y dotada </v>
      </c>
      <c r="Z426" s="168" t="str">
        <f>CONCATENATE(X426,"-",Y426)</f>
        <v xml:space="preserve">14-Infraestructura física misional construida mantenida y dotada </v>
      </c>
      <c r="AA426" s="166" t="s">
        <v>225</v>
      </c>
      <c r="AB426" s="167" t="str">
        <f>IFERROR(VLOOKUP(AA426,TD!$N$55:$O$70,2,0)," ")</f>
        <v>Estaciones de bomberos adecuadas</v>
      </c>
      <c r="AC426" s="168" t="str">
        <f>CONCATENATE(AA426,"_",AB426)</f>
        <v>014_Estaciones de bomberos adecuadas</v>
      </c>
      <c r="AD426" s="168" t="str">
        <f>CONCATENATE(Z426," ",AC426)</f>
        <v>14-Infraestructura física misional construida mantenida y dotada  014_Estaciones de bomberos adecuadas</v>
      </c>
      <c r="AE426" s="167" t="str">
        <f>CONCATENATE(U426,V426,W426,X426,AA426)</f>
        <v>O23011745032024025514014</v>
      </c>
      <c r="AF426" s="167" t="str">
        <f>IFERROR(VLOOKUP(AD426,TD!$J$70:$K$93,2,0)," ")</f>
        <v>PM/0131/0114/45030140255</v>
      </c>
      <c r="AG426" s="114" t="s">
        <v>385</v>
      </c>
      <c r="AH426" s="166" t="s">
        <v>193</v>
      </c>
      <c r="AI426" s="169" t="str">
        <f>CONCATENATE(PAA[[#This Row],[Id Interno]],"-",PAA[[#This Row],[tipo de Contrato (TH talento humano - B/S bienes y/o servicios)]],"-",S426,"-",T426,"-",PAA[[#This Row],[Objeto de la contratación]])</f>
        <v>20260396-TH-8173-7--Prestación de servicios profesionales para apoyar las actividades de estructuración de procesos contractuales del Área de Infraestructura de la Subdirección de Gestión Corporativa-SGC</v>
      </c>
    </row>
    <row r="427" spans="2:35" ht="56" x14ac:dyDescent="0.35">
      <c r="B427" s="23">
        <v>20260397</v>
      </c>
      <c r="C427" s="97" t="s">
        <v>636</v>
      </c>
      <c r="D427" s="23" t="s">
        <v>105</v>
      </c>
      <c r="E427" s="23" t="s">
        <v>363</v>
      </c>
      <c r="F427" s="163" t="s">
        <v>144</v>
      </c>
      <c r="G427" s="164" t="s">
        <v>373</v>
      </c>
      <c r="H427" s="165">
        <v>11</v>
      </c>
      <c r="I427" s="165">
        <v>0</v>
      </c>
      <c r="J427" s="122">
        <v>56300000</v>
      </c>
      <c r="K427" s="88" t="s">
        <v>398</v>
      </c>
      <c r="L427" s="163" t="s">
        <v>155</v>
      </c>
      <c r="M427" s="166" t="s">
        <v>422</v>
      </c>
      <c r="N427" s="23" t="s">
        <v>197</v>
      </c>
      <c r="O427" s="144" t="s">
        <v>886</v>
      </c>
      <c r="P427" s="163" t="s">
        <v>348</v>
      </c>
      <c r="Q427" s="154" t="s">
        <v>725</v>
      </c>
      <c r="R427" s="166" t="s">
        <v>207</v>
      </c>
      <c r="S427" s="166" t="str">
        <f>MID(PAA[[#This Row],[Meta Proyecto de Inversión]],1,4)</f>
        <v>8126</v>
      </c>
      <c r="T427" s="166" t="str">
        <f>MID(PAA[[#This Row],[Meta Proyecto de Inversión]],6,2)</f>
        <v>8-</v>
      </c>
      <c r="U427" s="167" t="str">
        <f>IFERROR(VLOOKUP(N427,TD!$B$54:$F$58,2,0)," ")</f>
        <v>O230117</v>
      </c>
      <c r="V427" s="167" t="str">
        <f>IFERROR(VLOOKUP(N427,TD!$B$54:$F$58,3,0)," ")</f>
        <v>4599</v>
      </c>
      <c r="W427" s="167">
        <f>IFERROR(VLOOKUP(N427,TD!$B$54:$F$58,4,0)," ")</f>
        <v>20240207</v>
      </c>
      <c r="X427" s="166" t="s">
        <v>174</v>
      </c>
      <c r="Y427" s="167" t="str">
        <f>IFERROR(VLOOKUP(X427,TD!$J$55:$K$68,2,0)," ")</f>
        <v>Infraestructura física, mantenimiento y dotación (Sedes construidas, mantenidas reforzadas)</v>
      </c>
      <c r="Z427" s="168" t="str">
        <f>CONCATENATE(X427,"-",Y427)</f>
        <v>08-Infraestructura física, mantenimiento y dotación (Sedes construidas, mantenidas reforzadas)</v>
      </c>
      <c r="AA427" s="166" t="s">
        <v>227</v>
      </c>
      <c r="AB427" s="167" t="str">
        <f>IFERROR(VLOOKUP(AA427,TD!$N$55:$O$70,2,0)," ")</f>
        <v>Sedes mantenidas</v>
      </c>
      <c r="AC427" s="168" t="str">
        <f>CONCATENATE(AA427,"_",AB427)</f>
        <v>016_Sedes mantenidas</v>
      </c>
      <c r="AD427" s="168" t="str">
        <f>CONCATENATE(Z427," ",AC427)</f>
        <v>08-Infraestructura física, mantenimiento y dotación (Sedes construidas, mantenidas reforzadas) 016_Sedes mantenidas</v>
      </c>
      <c r="AE427" s="167" t="str">
        <f>CONCATENATE(U427,V427,W427,X427,AA427)</f>
        <v>O23011745992024020708016</v>
      </c>
      <c r="AF427" s="167" t="str">
        <f>IFERROR(VLOOKUP(AD427,TD!$J$70:$K$93,2,0)," ")</f>
        <v>PM/0131/0108/45990160207</v>
      </c>
      <c r="AG427" s="114" t="s">
        <v>385</v>
      </c>
      <c r="AH427" s="166" t="s">
        <v>193</v>
      </c>
      <c r="AI427" s="169" t="str">
        <f>CONCATENATE(PAA[[#This Row],[Id Interno]],"-",PAA[[#This Row],[tipo de Contrato (TH talento humano - B/S bienes y/o servicios)]],"-",S427,"-",T427,"-",PAA[[#This Row],[Objeto de la contratación]])</f>
        <v>20260397-TH-8126-8--Prestar los servicios profesionales en las actividades asociadas del área de infraestructura que contribuyan para la implementación de procesos y procedimientos para la adecuada prestación del servicio-SGC.</v>
      </c>
    </row>
    <row r="428" spans="2:35" ht="56" customHeight="1" x14ac:dyDescent="0.35">
      <c r="B428" s="23">
        <v>20260398</v>
      </c>
      <c r="C428" s="97" t="s">
        <v>637</v>
      </c>
      <c r="D428" s="23" t="s">
        <v>105</v>
      </c>
      <c r="E428" s="23" t="s">
        <v>363</v>
      </c>
      <c r="F428" s="163" t="s">
        <v>144</v>
      </c>
      <c r="G428" s="164" t="s">
        <v>373</v>
      </c>
      <c r="H428" s="165">
        <v>10</v>
      </c>
      <c r="I428" s="165">
        <v>0</v>
      </c>
      <c r="J428" s="122">
        <v>70000000</v>
      </c>
      <c r="K428" s="88" t="s">
        <v>398</v>
      </c>
      <c r="L428" s="163" t="s">
        <v>155</v>
      </c>
      <c r="M428" s="166" t="s">
        <v>422</v>
      </c>
      <c r="N428" s="23" t="s">
        <v>197</v>
      </c>
      <c r="O428" s="144" t="s">
        <v>886</v>
      </c>
      <c r="P428" s="163" t="s">
        <v>348</v>
      </c>
      <c r="Q428" s="154" t="s">
        <v>725</v>
      </c>
      <c r="R428" s="166" t="s">
        <v>208</v>
      </c>
      <c r="S428" s="166" t="str">
        <f>MID(PAA[[#This Row],[Meta Proyecto de Inversión]],1,4)</f>
        <v>8126</v>
      </c>
      <c r="T428" s="166" t="str">
        <f>MID(PAA[[#This Row],[Meta Proyecto de Inversión]],6,2)</f>
        <v>9-</v>
      </c>
      <c r="U428" s="167" t="str">
        <f>IFERROR(VLOOKUP(N428,TD!$B$54:$F$58,2,0)," ")</f>
        <v>O230117</v>
      </c>
      <c r="V428" s="167" t="str">
        <f>IFERROR(VLOOKUP(N428,TD!$B$54:$F$58,3,0)," ")</f>
        <v>4599</v>
      </c>
      <c r="W428" s="167">
        <f>IFERROR(VLOOKUP(N428,TD!$B$54:$F$58,4,0)," ")</f>
        <v>20240207</v>
      </c>
      <c r="X428" s="166" t="s">
        <v>174</v>
      </c>
      <c r="Y428" s="167" t="str">
        <f>IFERROR(VLOOKUP(X428,TD!$J$55:$K$68,2,0)," ")</f>
        <v>Infraestructura física, mantenimiento y dotación (Sedes construidas, mantenidas reforzadas)</v>
      </c>
      <c r="Z428" s="168" t="str">
        <f>CONCATENATE(X428,"-",Y428)</f>
        <v>08-Infraestructura física, mantenimiento y dotación (Sedes construidas, mantenidas reforzadas)</v>
      </c>
      <c r="AA428" s="166" t="s">
        <v>227</v>
      </c>
      <c r="AB428" s="167" t="str">
        <f>IFERROR(VLOOKUP(AA428,TD!$N$55:$O$70,2,0)," ")</f>
        <v>Sedes mantenidas</v>
      </c>
      <c r="AC428" s="168" t="str">
        <f>CONCATENATE(AA428,"_",AB428)</f>
        <v>016_Sedes mantenidas</v>
      </c>
      <c r="AD428" s="168" t="str">
        <f>CONCATENATE(Z428," ",AC428)</f>
        <v>08-Infraestructura física, mantenimiento y dotación (Sedes construidas, mantenidas reforzadas) 016_Sedes mantenidas</v>
      </c>
      <c r="AE428" s="167" t="str">
        <f>CONCATENATE(U428,V428,W428,X428,AA428)</f>
        <v>O23011745992024020708016</v>
      </c>
      <c r="AF428" s="167" t="str">
        <f>IFERROR(VLOOKUP(AD428,TD!$J$70:$K$93,2,0)," ")</f>
        <v>PM/0131/0108/45990160207</v>
      </c>
      <c r="AG428" s="114" t="s">
        <v>385</v>
      </c>
      <c r="AH428" s="166" t="s">
        <v>193</v>
      </c>
      <c r="AI428" s="169" t="str">
        <f>CONCATENATE(PAA[[#This Row],[Id Interno]],"-",PAA[[#This Row],[tipo de Contrato (TH talento humano - B/S bienes y/o servicios)]],"-",S428,"-",T428,"-",PAA[[#This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429" spans="2:35" ht="56" x14ac:dyDescent="0.35">
      <c r="B429" s="23">
        <v>20260399</v>
      </c>
      <c r="C429" s="97" t="s">
        <v>638</v>
      </c>
      <c r="D429" s="23" t="s">
        <v>105</v>
      </c>
      <c r="E429" s="23" t="s">
        <v>363</v>
      </c>
      <c r="F429" s="163" t="s">
        <v>145</v>
      </c>
      <c r="G429" s="164" t="s">
        <v>373</v>
      </c>
      <c r="H429" s="165">
        <v>11</v>
      </c>
      <c r="I429" s="165">
        <v>0</v>
      </c>
      <c r="J429" s="122">
        <v>36127608</v>
      </c>
      <c r="K429" s="88" t="s">
        <v>398</v>
      </c>
      <c r="L429" s="163" t="s">
        <v>155</v>
      </c>
      <c r="M429" s="166" t="s">
        <v>422</v>
      </c>
      <c r="N429" s="23" t="s">
        <v>197</v>
      </c>
      <c r="O429" s="144" t="s">
        <v>886</v>
      </c>
      <c r="P429" s="163" t="s">
        <v>348</v>
      </c>
      <c r="Q429" s="154" t="s">
        <v>725</v>
      </c>
      <c r="R429" s="166" t="s">
        <v>208</v>
      </c>
      <c r="S429" s="166" t="str">
        <f>MID(PAA[[#This Row],[Meta Proyecto de Inversión]],1,4)</f>
        <v>8126</v>
      </c>
      <c r="T429" s="166" t="str">
        <f>MID(PAA[[#This Row],[Meta Proyecto de Inversión]],6,2)</f>
        <v>9-</v>
      </c>
      <c r="U429" s="167" t="str">
        <f>IFERROR(VLOOKUP(N429,TD!$B$54:$F$58,2,0)," ")</f>
        <v>O230117</v>
      </c>
      <c r="V429" s="167" t="str">
        <f>IFERROR(VLOOKUP(N429,TD!$B$54:$F$58,3,0)," ")</f>
        <v>4599</v>
      </c>
      <c r="W429" s="167">
        <f>IFERROR(VLOOKUP(N429,TD!$B$54:$F$58,4,0)," ")</f>
        <v>20240207</v>
      </c>
      <c r="X429" s="166" t="s">
        <v>174</v>
      </c>
      <c r="Y429" s="167" t="str">
        <f>IFERROR(VLOOKUP(X429,TD!$J$55:$K$68,2,0)," ")</f>
        <v>Infraestructura física, mantenimiento y dotación (Sedes construidas, mantenidas reforzadas)</v>
      </c>
      <c r="Z429" s="168" t="str">
        <f>CONCATENATE(X429,"-",Y429)</f>
        <v>08-Infraestructura física, mantenimiento y dotación (Sedes construidas, mantenidas reforzadas)</v>
      </c>
      <c r="AA429" s="166" t="s">
        <v>227</v>
      </c>
      <c r="AB429" s="167" t="str">
        <f>IFERROR(VLOOKUP(AA429,TD!$N$55:$O$70,2,0)," ")</f>
        <v>Sedes mantenidas</v>
      </c>
      <c r="AC429" s="168" t="str">
        <f>CONCATENATE(AA429,"_",AB429)</f>
        <v>016_Sedes mantenidas</v>
      </c>
      <c r="AD429" s="168" t="str">
        <f>CONCATENATE(Z429," ",AC429)</f>
        <v>08-Infraestructura física, mantenimiento y dotación (Sedes construidas, mantenidas reforzadas) 016_Sedes mantenidas</v>
      </c>
      <c r="AE429" s="167" t="str">
        <f>CONCATENATE(U429,V429,W429,X429,AA429)</f>
        <v>O23011745992024020708016</v>
      </c>
      <c r="AF429" s="167" t="str">
        <f>IFERROR(VLOOKUP(AD429,TD!$J$70:$K$93,2,0)," ")</f>
        <v>PM/0131/0108/45990160207</v>
      </c>
      <c r="AG429" s="114" t="s">
        <v>385</v>
      </c>
      <c r="AH429" s="166" t="s">
        <v>193</v>
      </c>
      <c r="AI429" s="169" t="str">
        <f>CONCATENATE(PAA[[#This Row],[Id Interno]],"-",PAA[[#This Row],[tipo de Contrato (TH talento humano - B/S bienes y/o servicios)]],"-",S429,"-",T429,"-",PAA[[#This Row],[Objeto de la contratación]])</f>
        <v>20260399-TH-8126-9--Prestación de servicios de apoyo a la gestión en la ejecución de los planes y programas de servicio al ciudadano a cargo de la Subdirección de Gestión Corporativa.-SGC</v>
      </c>
    </row>
    <row r="430" spans="2:35" ht="42" x14ac:dyDescent="0.35">
      <c r="B430" s="23">
        <v>20260400</v>
      </c>
      <c r="C430" s="97" t="s">
        <v>639</v>
      </c>
      <c r="D430" s="23" t="s">
        <v>105</v>
      </c>
      <c r="E430" s="23" t="s">
        <v>363</v>
      </c>
      <c r="F430" s="163" t="s">
        <v>144</v>
      </c>
      <c r="G430" s="164" t="s">
        <v>373</v>
      </c>
      <c r="H430" s="165">
        <v>11</v>
      </c>
      <c r="I430" s="165">
        <v>0</v>
      </c>
      <c r="J430" s="122">
        <v>99968690</v>
      </c>
      <c r="K430" s="88" t="s">
        <v>398</v>
      </c>
      <c r="L430" s="163" t="s">
        <v>155</v>
      </c>
      <c r="M430" s="166" t="s">
        <v>422</v>
      </c>
      <c r="N430" s="23" t="s">
        <v>197</v>
      </c>
      <c r="O430" s="144" t="s">
        <v>886</v>
      </c>
      <c r="P430" s="163" t="s">
        <v>348</v>
      </c>
      <c r="Q430" s="154" t="s">
        <v>725</v>
      </c>
      <c r="R430" s="166" t="s">
        <v>208</v>
      </c>
      <c r="S430" s="166" t="str">
        <f>MID(PAA[[#This Row],[Meta Proyecto de Inversión]],1,4)</f>
        <v>8126</v>
      </c>
      <c r="T430" s="166" t="str">
        <f>MID(PAA[[#This Row],[Meta Proyecto de Inversión]],6,2)</f>
        <v>9-</v>
      </c>
      <c r="U430" s="167" t="str">
        <f>IFERROR(VLOOKUP(N430,TD!$B$54:$F$58,2,0)," ")</f>
        <v>O230117</v>
      </c>
      <c r="V430" s="167" t="str">
        <f>IFERROR(VLOOKUP(N430,TD!$B$54:$F$58,3,0)," ")</f>
        <v>4599</v>
      </c>
      <c r="W430" s="167">
        <f>IFERROR(VLOOKUP(N430,TD!$B$54:$F$58,4,0)," ")</f>
        <v>20240207</v>
      </c>
      <c r="X430" s="166" t="s">
        <v>174</v>
      </c>
      <c r="Y430" s="167" t="str">
        <f>IFERROR(VLOOKUP(X430,TD!$J$55:$K$68,2,0)," ")</f>
        <v>Infraestructura física, mantenimiento y dotación (Sedes construidas, mantenidas reforzadas)</v>
      </c>
      <c r="Z430" s="168" t="str">
        <f>CONCATENATE(X430,"-",Y430)</f>
        <v>08-Infraestructura física, mantenimiento y dotación (Sedes construidas, mantenidas reforzadas)</v>
      </c>
      <c r="AA430" s="166" t="s">
        <v>227</v>
      </c>
      <c r="AB430" s="167" t="str">
        <f>IFERROR(VLOOKUP(AA430,TD!$N$55:$O$70,2,0)," ")</f>
        <v>Sedes mantenidas</v>
      </c>
      <c r="AC430" s="168" t="str">
        <f>CONCATENATE(AA430,"_",AB430)</f>
        <v>016_Sedes mantenidas</v>
      </c>
      <c r="AD430" s="168" t="str">
        <f>CONCATENATE(Z430," ",AC430)</f>
        <v>08-Infraestructura física, mantenimiento y dotación (Sedes construidas, mantenidas reforzadas) 016_Sedes mantenidas</v>
      </c>
      <c r="AE430" s="167" t="str">
        <f>CONCATENATE(U430,V430,W430,X430,AA430)</f>
        <v>O23011745992024020708016</v>
      </c>
      <c r="AF430" s="167" t="str">
        <f>IFERROR(VLOOKUP(AD430,TD!$J$70:$K$93,2,0)," ")</f>
        <v>PM/0131/0108/45990160207</v>
      </c>
      <c r="AG430" s="114" t="s">
        <v>385</v>
      </c>
      <c r="AH430" s="166" t="s">
        <v>193</v>
      </c>
      <c r="AI430" s="169" t="str">
        <f>CONCATENATE(PAA[[#This Row],[Id Interno]],"-",PAA[[#This Row],[tipo de Contrato (TH talento humano - B/S bienes y/o servicios)]],"-",S430,"-",T430,"-",PAA[[#This Row],[Objeto de la contratación]])</f>
        <v>20260400-TH-8126-9--Prestación de servicios profesionales para articular la gestión en la ejecución de los planes y programas de servicio al ciudadano a cargo de la Subdirección de Gestión Corporativa.-SGC</v>
      </c>
    </row>
    <row r="431" spans="2:35" ht="56" x14ac:dyDescent="0.35">
      <c r="B431" s="23">
        <v>20260401</v>
      </c>
      <c r="C431" s="97" t="s">
        <v>638</v>
      </c>
      <c r="D431" s="23" t="s">
        <v>105</v>
      </c>
      <c r="E431" s="23" t="s">
        <v>363</v>
      </c>
      <c r="F431" s="163" t="s">
        <v>145</v>
      </c>
      <c r="G431" s="164" t="s">
        <v>373</v>
      </c>
      <c r="H431" s="165">
        <v>11</v>
      </c>
      <c r="I431" s="165">
        <v>0</v>
      </c>
      <c r="J431" s="122">
        <v>36127608</v>
      </c>
      <c r="K431" s="88" t="s">
        <v>398</v>
      </c>
      <c r="L431" s="163" t="s">
        <v>155</v>
      </c>
      <c r="M431" s="166" t="s">
        <v>422</v>
      </c>
      <c r="N431" s="23" t="s">
        <v>197</v>
      </c>
      <c r="O431" s="144" t="s">
        <v>886</v>
      </c>
      <c r="P431" s="163" t="s">
        <v>348</v>
      </c>
      <c r="Q431" s="154" t="s">
        <v>725</v>
      </c>
      <c r="R431" s="166" t="s">
        <v>208</v>
      </c>
      <c r="S431" s="166" t="str">
        <f>MID(PAA[[#This Row],[Meta Proyecto de Inversión]],1,4)</f>
        <v>8126</v>
      </c>
      <c r="T431" s="166" t="str">
        <f>MID(PAA[[#This Row],[Meta Proyecto de Inversión]],6,2)</f>
        <v>9-</v>
      </c>
      <c r="U431" s="167" t="str">
        <f>IFERROR(VLOOKUP(N431,TD!$B$54:$F$58,2,0)," ")</f>
        <v>O230117</v>
      </c>
      <c r="V431" s="167" t="str">
        <f>IFERROR(VLOOKUP(N431,TD!$B$54:$F$58,3,0)," ")</f>
        <v>4599</v>
      </c>
      <c r="W431" s="167">
        <f>IFERROR(VLOOKUP(N431,TD!$B$54:$F$58,4,0)," ")</f>
        <v>20240207</v>
      </c>
      <c r="X431" s="166" t="s">
        <v>174</v>
      </c>
      <c r="Y431" s="167" t="str">
        <f>IFERROR(VLOOKUP(X431,TD!$J$55:$K$68,2,0)," ")</f>
        <v>Infraestructura física, mantenimiento y dotación (Sedes construidas, mantenidas reforzadas)</v>
      </c>
      <c r="Z431" s="168" t="str">
        <f>CONCATENATE(X431,"-",Y431)</f>
        <v>08-Infraestructura física, mantenimiento y dotación (Sedes construidas, mantenidas reforzadas)</v>
      </c>
      <c r="AA431" s="166" t="s">
        <v>227</v>
      </c>
      <c r="AB431" s="167" t="str">
        <f>IFERROR(VLOOKUP(AA431,TD!$N$55:$O$70,2,0)," ")</f>
        <v>Sedes mantenidas</v>
      </c>
      <c r="AC431" s="168" t="str">
        <f>CONCATENATE(AA431,"_",AB431)</f>
        <v>016_Sedes mantenidas</v>
      </c>
      <c r="AD431" s="168" t="str">
        <f>CONCATENATE(Z431," ",AC431)</f>
        <v>08-Infraestructura física, mantenimiento y dotación (Sedes construidas, mantenidas reforzadas) 016_Sedes mantenidas</v>
      </c>
      <c r="AE431" s="167" t="str">
        <f>CONCATENATE(U431,V431,W431,X431,AA431)</f>
        <v>O23011745992024020708016</v>
      </c>
      <c r="AF431" s="167" t="str">
        <f>IFERROR(VLOOKUP(AD431,TD!$J$70:$K$93,2,0)," ")</f>
        <v>PM/0131/0108/45990160207</v>
      </c>
      <c r="AG431" s="114" t="s">
        <v>385</v>
      </c>
      <c r="AH431" s="166" t="s">
        <v>193</v>
      </c>
      <c r="AI431" s="169" t="str">
        <f>CONCATENATE(PAA[[#This Row],[Id Interno]],"-",PAA[[#This Row],[tipo de Contrato (TH talento humano - B/S bienes y/o servicios)]],"-",S431,"-",T431,"-",PAA[[#This Row],[Objeto de la contratación]])</f>
        <v>20260401-TH-8126-9--Prestación de servicios de apoyo a la gestión en la ejecución de los planes y programas de servicio al ciudadano a cargo de la Subdirección de Gestión Corporativa.-SGC</v>
      </c>
    </row>
    <row r="432" spans="2:35" ht="42" x14ac:dyDescent="0.35">
      <c r="B432" s="23">
        <v>20260402</v>
      </c>
      <c r="C432" s="97" t="s">
        <v>638</v>
      </c>
      <c r="D432" s="23" t="s">
        <v>105</v>
      </c>
      <c r="E432" s="23" t="s">
        <v>363</v>
      </c>
      <c r="F432" s="163" t="s">
        <v>145</v>
      </c>
      <c r="G432" s="164" t="s">
        <v>373</v>
      </c>
      <c r="H432" s="165">
        <v>11</v>
      </c>
      <c r="I432" s="165">
        <v>0</v>
      </c>
      <c r="J432" s="122">
        <v>36127608</v>
      </c>
      <c r="K432" s="88" t="s">
        <v>398</v>
      </c>
      <c r="L432" s="163" t="s">
        <v>155</v>
      </c>
      <c r="M432" s="166" t="s">
        <v>422</v>
      </c>
      <c r="N432" s="23" t="s">
        <v>197</v>
      </c>
      <c r="O432" s="144" t="s">
        <v>886</v>
      </c>
      <c r="P432" s="163" t="s">
        <v>348</v>
      </c>
      <c r="Q432" s="154" t="s">
        <v>725</v>
      </c>
      <c r="R432" s="166" t="s">
        <v>208</v>
      </c>
      <c r="S432" s="166" t="str">
        <f>MID(PAA[[#This Row],[Meta Proyecto de Inversión]],1,4)</f>
        <v>8126</v>
      </c>
      <c r="T432" s="166" t="str">
        <f>MID(PAA[[#This Row],[Meta Proyecto de Inversión]],6,2)</f>
        <v>9-</v>
      </c>
      <c r="U432" s="167" t="str">
        <f>IFERROR(VLOOKUP(N432,TD!$B$54:$F$58,2,0)," ")</f>
        <v>O230117</v>
      </c>
      <c r="V432" s="167" t="str">
        <f>IFERROR(VLOOKUP(N432,TD!$B$54:$F$58,3,0)," ")</f>
        <v>4599</v>
      </c>
      <c r="W432" s="167">
        <f>IFERROR(VLOOKUP(N432,TD!$B$54:$F$58,4,0)," ")</f>
        <v>20240207</v>
      </c>
      <c r="X432" s="166" t="s">
        <v>174</v>
      </c>
      <c r="Y432" s="167" t="str">
        <f>IFERROR(VLOOKUP(X432,TD!$J$55:$K$68,2,0)," ")</f>
        <v>Infraestructura física, mantenimiento y dotación (Sedes construidas, mantenidas reforzadas)</v>
      </c>
      <c r="Z432" s="168" t="str">
        <f>CONCATENATE(X432,"-",Y432)</f>
        <v>08-Infraestructura física, mantenimiento y dotación (Sedes construidas, mantenidas reforzadas)</v>
      </c>
      <c r="AA432" s="166" t="s">
        <v>227</v>
      </c>
      <c r="AB432" s="167" t="str">
        <f>IFERROR(VLOOKUP(AA432,TD!$N$55:$O$70,2,0)," ")</f>
        <v>Sedes mantenidas</v>
      </c>
      <c r="AC432" s="168" t="str">
        <f>CONCATENATE(AA432,"_",AB432)</f>
        <v>016_Sedes mantenidas</v>
      </c>
      <c r="AD432" s="168" t="str">
        <f>CONCATENATE(Z432," ",AC432)</f>
        <v>08-Infraestructura física, mantenimiento y dotación (Sedes construidas, mantenidas reforzadas) 016_Sedes mantenidas</v>
      </c>
      <c r="AE432" s="167" t="str">
        <f>CONCATENATE(U432,V432,W432,X432,AA432)</f>
        <v>O23011745992024020708016</v>
      </c>
      <c r="AF432" s="167" t="str">
        <f>IFERROR(VLOOKUP(AD432,TD!$J$70:$K$93,2,0)," ")</f>
        <v>PM/0131/0108/45990160207</v>
      </c>
      <c r="AG432" s="114" t="s">
        <v>385</v>
      </c>
      <c r="AH432" s="166" t="s">
        <v>193</v>
      </c>
      <c r="AI432" s="169" t="str">
        <f>CONCATENATE(PAA[[#This Row],[Id Interno]],"-",PAA[[#This Row],[tipo de Contrato (TH talento humano - B/S bienes y/o servicios)]],"-",S432,"-",T432,"-",PAA[[#This Row],[Objeto de la contratación]])</f>
        <v>20260402-TH-8126-9--Prestación de servicios de apoyo a la gestión en la ejecución de los planes y programas de servicio al ciudadano a cargo de la Subdirección de Gestión Corporativa.-SGC</v>
      </c>
    </row>
    <row r="433" spans="2:35" ht="42" x14ac:dyDescent="0.35">
      <c r="B433" s="23">
        <v>20260404</v>
      </c>
      <c r="C433" s="97" t="s">
        <v>638</v>
      </c>
      <c r="D433" s="23" t="s">
        <v>105</v>
      </c>
      <c r="E433" s="23" t="s">
        <v>363</v>
      </c>
      <c r="F433" s="163" t="s">
        <v>145</v>
      </c>
      <c r="G433" s="164" t="s">
        <v>373</v>
      </c>
      <c r="H433" s="165">
        <v>11</v>
      </c>
      <c r="I433" s="165">
        <v>0</v>
      </c>
      <c r="J433" s="122">
        <v>36127608</v>
      </c>
      <c r="K433" s="88" t="s">
        <v>398</v>
      </c>
      <c r="L433" s="163" t="s">
        <v>155</v>
      </c>
      <c r="M433" s="166" t="s">
        <v>422</v>
      </c>
      <c r="N433" s="23" t="s">
        <v>197</v>
      </c>
      <c r="O433" s="144" t="s">
        <v>886</v>
      </c>
      <c r="P433" s="163" t="s">
        <v>348</v>
      </c>
      <c r="Q433" s="53" t="s">
        <v>725</v>
      </c>
      <c r="R433" s="166" t="s">
        <v>208</v>
      </c>
      <c r="S433" s="166" t="str">
        <f>MID(PAA[[#This Row],[Meta Proyecto de Inversión]],1,4)</f>
        <v>8126</v>
      </c>
      <c r="T433" s="166" t="str">
        <f>MID(PAA[[#This Row],[Meta Proyecto de Inversión]],6,2)</f>
        <v>9-</v>
      </c>
      <c r="U433" s="167" t="str">
        <f>IFERROR(VLOOKUP(N433,TD!$B$54:$F$58,2,0)," ")</f>
        <v>O230117</v>
      </c>
      <c r="V433" s="167" t="str">
        <f>IFERROR(VLOOKUP(N433,TD!$B$54:$F$58,3,0)," ")</f>
        <v>4599</v>
      </c>
      <c r="W433" s="167">
        <f>IFERROR(VLOOKUP(N433,TD!$B$54:$F$58,4,0)," ")</f>
        <v>20240207</v>
      </c>
      <c r="X433" s="166" t="s">
        <v>174</v>
      </c>
      <c r="Y433" s="167" t="str">
        <f>IFERROR(VLOOKUP(X433,TD!$J$55:$K$68,2,0)," ")</f>
        <v>Infraestructura física, mantenimiento y dotación (Sedes construidas, mantenidas reforzadas)</v>
      </c>
      <c r="Z433" s="168" t="str">
        <f>CONCATENATE(X433,"-",Y433)</f>
        <v>08-Infraestructura física, mantenimiento y dotación (Sedes construidas, mantenidas reforzadas)</v>
      </c>
      <c r="AA433" s="166" t="s">
        <v>227</v>
      </c>
      <c r="AB433" s="167" t="str">
        <f>IFERROR(VLOOKUP(AA433,TD!$N$55:$O$70,2,0)," ")</f>
        <v>Sedes mantenidas</v>
      </c>
      <c r="AC433" s="168" t="str">
        <f>CONCATENATE(AA433,"_",AB433)</f>
        <v>016_Sedes mantenidas</v>
      </c>
      <c r="AD433" s="168" t="str">
        <f>CONCATENATE(Z433," ",AC433)</f>
        <v>08-Infraestructura física, mantenimiento y dotación (Sedes construidas, mantenidas reforzadas) 016_Sedes mantenidas</v>
      </c>
      <c r="AE433" s="167" t="str">
        <f>CONCATENATE(U433,V433,W433,X433,AA433)</f>
        <v>O23011745992024020708016</v>
      </c>
      <c r="AF433" s="167" t="str">
        <f>IFERROR(VLOOKUP(AD433,TD!$J$70:$K$93,2,0)," ")</f>
        <v>PM/0131/0108/45990160207</v>
      </c>
      <c r="AG433" s="114" t="s">
        <v>385</v>
      </c>
      <c r="AH433" s="166" t="s">
        <v>193</v>
      </c>
      <c r="AI433" s="169" t="str">
        <f>CONCATENATE(PAA[[#This Row],[Id Interno]],"-",PAA[[#This Row],[tipo de Contrato (TH talento humano - B/S bienes y/o servicios)]],"-",S433,"-",T433,"-",PAA[[#This Row],[Objeto de la contratación]])</f>
        <v>20260404-TH-8126-9--Prestación de servicios de apoyo a la gestión en la ejecución de los planes y programas de servicio al ciudadano a cargo de la Subdirección de Gestión Corporativa.-SGC</v>
      </c>
    </row>
    <row r="434" spans="2:35" ht="42" x14ac:dyDescent="0.35">
      <c r="B434" s="23">
        <v>20260405</v>
      </c>
      <c r="C434" s="97" t="s">
        <v>638</v>
      </c>
      <c r="D434" s="23" t="s">
        <v>105</v>
      </c>
      <c r="E434" s="23" t="s">
        <v>363</v>
      </c>
      <c r="F434" s="163" t="s">
        <v>145</v>
      </c>
      <c r="G434" s="164" t="s">
        <v>373</v>
      </c>
      <c r="H434" s="165">
        <v>11</v>
      </c>
      <c r="I434" s="165">
        <v>0</v>
      </c>
      <c r="J434" s="122">
        <v>36127608</v>
      </c>
      <c r="K434" s="88" t="s">
        <v>398</v>
      </c>
      <c r="L434" s="163" t="s">
        <v>155</v>
      </c>
      <c r="M434" s="166" t="s">
        <v>422</v>
      </c>
      <c r="N434" s="23" t="s">
        <v>197</v>
      </c>
      <c r="O434" s="144" t="s">
        <v>886</v>
      </c>
      <c r="P434" s="163" t="s">
        <v>348</v>
      </c>
      <c r="Q434" s="53" t="s">
        <v>725</v>
      </c>
      <c r="R434" s="166" t="s">
        <v>208</v>
      </c>
      <c r="S434" s="166" t="str">
        <f>MID(PAA[[#This Row],[Meta Proyecto de Inversión]],1,4)</f>
        <v>8126</v>
      </c>
      <c r="T434" s="166" t="str">
        <f>MID(PAA[[#This Row],[Meta Proyecto de Inversión]],6,2)</f>
        <v>9-</v>
      </c>
      <c r="U434" s="167" t="str">
        <f>IFERROR(VLOOKUP(N434,TD!$B$54:$F$58,2,0)," ")</f>
        <v>O230117</v>
      </c>
      <c r="V434" s="167" t="str">
        <f>IFERROR(VLOOKUP(N434,TD!$B$54:$F$58,3,0)," ")</f>
        <v>4599</v>
      </c>
      <c r="W434" s="167">
        <f>IFERROR(VLOOKUP(N434,TD!$B$54:$F$58,4,0)," ")</f>
        <v>20240207</v>
      </c>
      <c r="X434" s="166" t="s">
        <v>174</v>
      </c>
      <c r="Y434" s="167" t="str">
        <f>IFERROR(VLOOKUP(X434,TD!$J$55:$K$68,2,0)," ")</f>
        <v>Infraestructura física, mantenimiento y dotación (Sedes construidas, mantenidas reforzadas)</v>
      </c>
      <c r="Z434" s="168" t="str">
        <f>CONCATENATE(X434,"-",Y434)</f>
        <v>08-Infraestructura física, mantenimiento y dotación (Sedes construidas, mantenidas reforzadas)</v>
      </c>
      <c r="AA434" s="166" t="s">
        <v>227</v>
      </c>
      <c r="AB434" s="167" t="str">
        <f>IFERROR(VLOOKUP(AA434,TD!$N$55:$O$70,2,0)," ")</f>
        <v>Sedes mantenidas</v>
      </c>
      <c r="AC434" s="168" t="str">
        <f>CONCATENATE(AA434,"_",AB434)</f>
        <v>016_Sedes mantenidas</v>
      </c>
      <c r="AD434" s="168" t="str">
        <f>CONCATENATE(Z434," ",AC434)</f>
        <v>08-Infraestructura física, mantenimiento y dotación (Sedes construidas, mantenidas reforzadas) 016_Sedes mantenidas</v>
      </c>
      <c r="AE434" s="167" t="str">
        <f>CONCATENATE(U434,V434,W434,X434,AA434)</f>
        <v>O23011745992024020708016</v>
      </c>
      <c r="AF434" s="167" t="str">
        <f>IFERROR(VLOOKUP(AD434,TD!$J$70:$K$93,2,0)," ")</f>
        <v>PM/0131/0108/45990160207</v>
      </c>
      <c r="AG434" s="114" t="s">
        <v>385</v>
      </c>
      <c r="AH434" s="166" t="s">
        <v>193</v>
      </c>
      <c r="AI434" s="169" t="str">
        <f>CONCATENATE(PAA[[#This Row],[Id Interno]],"-",PAA[[#This Row],[tipo de Contrato (TH talento humano - B/S bienes y/o servicios)]],"-",S434,"-",T434,"-",PAA[[#This Row],[Objeto de la contratación]])</f>
        <v>20260405-TH-8126-9--Prestación de servicios de apoyo a la gestión en la ejecución de los planes y programas de servicio al ciudadano a cargo de la Subdirección de Gestión Corporativa.-SGC</v>
      </c>
    </row>
    <row r="435" spans="2:35" ht="42" x14ac:dyDescent="0.35">
      <c r="B435" s="23">
        <v>20260406</v>
      </c>
      <c r="C435" s="97" t="s">
        <v>638</v>
      </c>
      <c r="D435" s="23" t="s">
        <v>105</v>
      </c>
      <c r="E435" s="23" t="s">
        <v>363</v>
      </c>
      <c r="F435" s="163" t="s">
        <v>145</v>
      </c>
      <c r="G435" s="164" t="s">
        <v>373</v>
      </c>
      <c r="H435" s="165">
        <v>11</v>
      </c>
      <c r="I435" s="165">
        <v>0</v>
      </c>
      <c r="J435" s="122">
        <v>36127608</v>
      </c>
      <c r="K435" s="88" t="s">
        <v>398</v>
      </c>
      <c r="L435" s="163" t="s">
        <v>155</v>
      </c>
      <c r="M435" s="166" t="s">
        <v>422</v>
      </c>
      <c r="N435" s="23" t="s">
        <v>197</v>
      </c>
      <c r="O435" s="144" t="s">
        <v>886</v>
      </c>
      <c r="P435" s="163" t="s">
        <v>348</v>
      </c>
      <c r="Q435" s="53" t="s">
        <v>725</v>
      </c>
      <c r="R435" s="166" t="s">
        <v>208</v>
      </c>
      <c r="S435" s="166" t="str">
        <f>MID(PAA[[#This Row],[Meta Proyecto de Inversión]],1,4)</f>
        <v>8126</v>
      </c>
      <c r="T435" s="166" t="str">
        <f>MID(PAA[[#This Row],[Meta Proyecto de Inversión]],6,2)</f>
        <v>9-</v>
      </c>
      <c r="U435" s="167" t="str">
        <f>IFERROR(VLOOKUP(N435,TD!$B$54:$F$58,2,0)," ")</f>
        <v>O230117</v>
      </c>
      <c r="V435" s="167" t="str">
        <f>IFERROR(VLOOKUP(N435,TD!$B$54:$F$58,3,0)," ")</f>
        <v>4599</v>
      </c>
      <c r="W435" s="167">
        <f>IFERROR(VLOOKUP(N435,TD!$B$54:$F$58,4,0)," ")</f>
        <v>20240207</v>
      </c>
      <c r="X435" s="166" t="s">
        <v>174</v>
      </c>
      <c r="Y435" s="167" t="str">
        <f>IFERROR(VLOOKUP(X435,TD!$J$55:$K$68,2,0)," ")</f>
        <v>Infraestructura física, mantenimiento y dotación (Sedes construidas, mantenidas reforzadas)</v>
      </c>
      <c r="Z435" s="168" t="str">
        <f>CONCATENATE(X435,"-",Y435)</f>
        <v>08-Infraestructura física, mantenimiento y dotación (Sedes construidas, mantenidas reforzadas)</v>
      </c>
      <c r="AA435" s="166" t="s">
        <v>227</v>
      </c>
      <c r="AB435" s="167" t="str">
        <f>IFERROR(VLOOKUP(AA435,TD!$N$55:$O$70,2,0)," ")</f>
        <v>Sedes mantenidas</v>
      </c>
      <c r="AC435" s="168" t="str">
        <f>CONCATENATE(AA435,"_",AB435)</f>
        <v>016_Sedes mantenidas</v>
      </c>
      <c r="AD435" s="168" t="str">
        <f>CONCATENATE(Z435," ",AC435)</f>
        <v>08-Infraestructura física, mantenimiento y dotación (Sedes construidas, mantenidas reforzadas) 016_Sedes mantenidas</v>
      </c>
      <c r="AE435" s="167" t="str">
        <f>CONCATENATE(U435,V435,W435,X435,AA435)</f>
        <v>O23011745992024020708016</v>
      </c>
      <c r="AF435" s="167" t="str">
        <f>IFERROR(VLOOKUP(AD435,TD!$J$70:$K$93,2,0)," ")</f>
        <v>PM/0131/0108/45990160207</v>
      </c>
      <c r="AG435" s="114" t="s">
        <v>385</v>
      </c>
      <c r="AH435" s="166" t="s">
        <v>193</v>
      </c>
      <c r="AI435" s="169" t="str">
        <f>CONCATENATE(PAA[[#This Row],[Id Interno]],"-",PAA[[#This Row],[tipo de Contrato (TH talento humano - B/S bienes y/o servicios)]],"-",S435,"-",T435,"-",PAA[[#This Row],[Objeto de la contratación]])</f>
        <v>20260406-TH-8126-9--Prestación de servicios de apoyo a la gestión en la ejecución de los planes y programas de servicio al ciudadano a cargo de la Subdirección de Gestión Corporativa.-SGC</v>
      </c>
    </row>
    <row r="436" spans="2:35" ht="42" x14ac:dyDescent="0.35">
      <c r="B436" s="23">
        <v>20260407</v>
      </c>
      <c r="C436" s="97" t="s">
        <v>638</v>
      </c>
      <c r="D436" s="23" t="s">
        <v>105</v>
      </c>
      <c r="E436" s="23" t="s">
        <v>363</v>
      </c>
      <c r="F436" s="163" t="s">
        <v>145</v>
      </c>
      <c r="G436" s="164" t="s">
        <v>373</v>
      </c>
      <c r="H436" s="165">
        <v>11</v>
      </c>
      <c r="I436" s="165">
        <v>0</v>
      </c>
      <c r="J436" s="122">
        <v>36127608</v>
      </c>
      <c r="K436" s="88" t="s">
        <v>398</v>
      </c>
      <c r="L436" s="163" t="s">
        <v>155</v>
      </c>
      <c r="M436" s="166" t="s">
        <v>422</v>
      </c>
      <c r="N436" s="23" t="s">
        <v>197</v>
      </c>
      <c r="O436" s="144" t="s">
        <v>886</v>
      </c>
      <c r="P436" s="163" t="s">
        <v>348</v>
      </c>
      <c r="Q436" s="53" t="s">
        <v>725</v>
      </c>
      <c r="R436" s="166" t="s">
        <v>208</v>
      </c>
      <c r="S436" s="166" t="str">
        <f>MID(PAA[[#This Row],[Meta Proyecto de Inversión]],1,4)</f>
        <v>8126</v>
      </c>
      <c r="T436" s="166" t="str">
        <f>MID(PAA[[#This Row],[Meta Proyecto de Inversión]],6,2)</f>
        <v>9-</v>
      </c>
      <c r="U436" s="167" t="str">
        <f>IFERROR(VLOOKUP(N436,TD!$B$54:$F$58,2,0)," ")</f>
        <v>O230117</v>
      </c>
      <c r="V436" s="167" t="str">
        <f>IFERROR(VLOOKUP(N436,TD!$B$54:$F$58,3,0)," ")</f>
        <v>4599</v>
      </c>
      <c r="W436" s="167">
        <f>IFERROR(VLOOKUP(N436,TD!$B$54:$F$58,4,0)," ")</f>
        <v>20240207</v>
      </c>
      <c r="X436" s="166" t="s">
        <v>174</v>
      </c>
      <c r="Y436" s="167" t="str">
        <f>IFERROR(VLOOKUP(X436,TD!$J$55:$K$68,2,0)," ")</f>
        <v>Infraestructura física, mantenimiento y dotación (Sedes construidas, mantenidas reforzadas)</v>
      </c>
      <c r="Z436" s="168" t="str">
        <f>CONCATENATE(X436,"-",Y436)</f>
        <v>08-Infraestructura física, mantenimiento y dotación (Sedes construidas, mantenidas reforzadas)</v>
      </c>
      <c r="AA436" s="166" t="s">
        <v>227</v>
      </c>
      <c r="AB436" s="167" t="str">
        <f>IFERROR(VLOOKUP(AA436,TD!$N$55:$O$70,2,0)," ")</f>
        <v>Sedes mantenidas</v>
      </c>
      <c r="AC436" s="168" t="str">
        <f>CONCATENATE(AA436,"_",AB436)</f>
        <v>016_Sedes mantenidas</v>
      </c>
      <c r="AD436" s="168" t="str">
        <f>CONCATENATE(Z436," ",AC436)</f>
        <v>08-Infraestructura física, mantenimiento y dotación (Sedes construidas, mantenidas reforzadas) 016_Sedes mantenidas</v>
      </c>
      <c r="AE436" s="167" t="str">
        <f>CONCATENATE(U436,V436,W436,X436,AA436)</f>
        <v>O23011745992024020708016</v>
      </c>
      <c r="AF436" s="167" t="str">
        <f>IFERROR(VLOOKUP(AD436,TD!$J$70:$K$93,2,0)," ")</f>
        <v>PM/0131/0108/45990160207</v>
      </c>
      <c r="AG436" s="114" t="s">
        <v>385</v>
      </c>
      <c r="AH436" s="166" t="s">
        <v>193</v>
      </c>
      <c r="AI436" s="169" t="str">
        <f>CONCATENATE(PAA[[#This Row],[Id Interno]],"-",PAA[[#This Row],[tipo de Contrato (TH talento humano - B/S bienes y/o servicios)]],"-",S436,"-",T436,"-",PAA[[#This Row],[Objeto de la contratación]])</f>
        <v>20260407-TH-8126-9--Prestación de servicios de apoyo a la gestión en la ejecución de los planes y programas de servicio al ciudadano a cargo de la Subdirección de Gestión Corporativa.-SGC</v>
      </c>
    </row>
    <row r="437" spans="2:35" ht="42" x14ac:dyDescent="0.35">
      <c r="B437" s="23">
        <v>20260408</v>
      </c>
      <c r="C437" s="97" t="s">
        <v>640</v>
      </c>
      <c r="D437" s="23" t="s">
        <v>105</v>
      </c>
      <c r="E437" s="23" t="s">
        <v>363</v>
      </c>
      <c r="F437" s="163" t="s">
        <v>144</v>
      </c>
      <c r="G437" s="164" t="s">
        <v>373</v>
      </c>
      <c r="H437" s="165">
        <v>11</v>
      </c>
      <c r="I437" s="165">
        <v>0</v>
      </c>
      <c r="J437" s="122">
        <v>88000000</v>
      </c>
      <c r="K437" s="88" t="s">
        <v>398</v>
      </c>
      <c r="L437" s="163" t="s">
        <v>155</v>
      </c>
      <c r="M437" s="166" t="s">
        <v>422</v>
      </c>
      <c r="N437" s="23" t="s">
        <v>197</v>
      </c>
      <c r="O437" s="144" t="s">
        <v>886</v>
      </c>
      <c r="P437" s="163" t="s">
        <v>348</v>
      </c>
      <c r="Q437" s="53" t="s">
        <v>725</v>
      </c>
      <c r="R437" s="166" t="s">
        <v>208</v>
      </c>
      <c r="S437" s="166" t="str">
        <f>MID(PAA[[#This Row],[Meta Proyecto de Inversión]],1,4)</f>
        <v>8126</v>
      </c>
      <c r="T437" s="166" t="str">
        <f>MID(PAA[[#This Row],[Meta Proyecto de Inversión]],6,2)</f>
        <v>9-</v>
      </c>
      <c r="U437" s="167" t="str">
        <f>IFERROR(VLOOKUP(N437,TD!$B$54:$F$58,2,0)," ")</f>
        <v>O230117</v>
      </c>
      <c r="V437" s="167" t="str">
        <f>IFERROR(VLOOKUP(N437,TD!$B$54:$F$58,3,0)," ")</f>
        <v>4599</v>
      </c>
      <c r="W437" s="167">
        <f>IFERROR(VLOOKUP(N437,TD!$B$54:$F$58,4,0)," ")</f>
        <v>20240207</v>
      </c>
      <c r="X437" s="166" t="s">
        <v>174</v>
      </c>
      <c r="Y437" s="167" t="str">
        <f>IFERROR(VLOOKUP(X437,TD!$J$55:$K$68,2,0)," ")</f>
        <v>Infraestructura física, mantenimiento y dotación (Sedes construidas, mantenidas reforzadas)</v>
      </c>
      <c r="Z437" s="168" t="str">
        <f>CONCATENATE(X437,"-",Y437)</f>
        <v>08-Infraestructura física, mantenimiento y dotación (Sedes construidas, mantenidas reforzadas)</v>
      </c>
      <c r="AA437" s="166" t="s">
        <v>227</v>
      </c>
      <c r="AB437" s="167" t="str">
        <f>IFERROR(VLOOKUP(AA437,TD!$N$55:$O$70,2,0)," ")</f>
        <v>Sedes mantenidas</v>
      </c>
      <c r="AC437" s="168" t="str">
        <f>CONCATENATE(AA437,"_",AB437)</f>
        <v>016_Sedes mantenidas</v>
      </c>
      <c r="AD437" s="168" t="str">
        <f>CONCATENATE(Z437," ",AC437)</f>
        <v>08-Infraestructura física, mantenimiento y dotación (Sedes construidas, mantenidas reforzadas) 016_Sedes mantenidas</v>
      </c>
      <c r="AE437" s="167" t="str">
        <f>CONCATENATE(U437,V437,W437,X437,AA437)</f>
        <v>O23011745992024020708016</v>
      </c>
      <c r="AF437" s="167" t="str">
        <f>IFERROR(VLOOKUP(AD437,TD!$J$70:$K$93,2,0)," ")</f>
        <v>PM/0131/0108/45990160207</v>
      </c>
      <c r="AG437" s="114" t="s">
        <v>385</v>
      </c>
      <c r="AH437" s="166" t="s">
        <v>193</v>
      </c>
      <c r="AI437" s="169" t="str">
        <f>CONCATENATE(PAA[[#This Row],[Id Interno]],"-",PAA[[#This Row],[tipo de Contrato (TH talento humano - B/S bienes y/o servicios)]],"-",S437,"-",T437,"-",PAA[[#This Row],[Objeto de la contratación]])</f>
        <v>20260408-TH-8126-9--Prestación de servicios profesionales en la Subdirección de Gestión Corporativa adelantando las actividades necesarias para la ejecución del programa y los procesos de seguros de la Entidad-SGC</v>
      </c>
    </row>
    <row r="438" spans="2:35" ht="56" x14ac:dyDescent="0.35">
      <c r="B438" s="23">
        <v>20260409</v>
      </c>
      <c r="C438" s="97" t="s">
        <v>641</v>
      </c>
      <c r="D438" s="23" t="s">
        <v>105</v>
      </c>
      <c r="E438" s="23" t="s">
        <v>363</v>
      </c>
      <c r="F438" s="163" t="s">
        <v>145</v>
      </c>
      <c r="G438" s="164" t="s">
        <v>373</v>
      </c>
      <c r="H438" s="165">
        <v>11</v>
      </c>
      <c r="I438" s="165">
        <v>0</v>
      </c>
      <c r="J438" s="122">
        <v>47044094</v>
      </c>
      <c r="K438" s="88" t="s">
        <v>398</v>
      </c>
      <c r="L438" s="163" t="s">
        <v>155</v>
      </c>
      <c r="M438" s="166" t="s">
        <v>422</v>
      </c>
      <c r="N438" s="23" t="s">
        <v>197</v>
      </c>
      <c r="O438" s="144" t="s">
        <v>886</v>
      </c>
      <c r="P438" s="163" t="s">
        <v>348</v>
      </c>
      <c r="Q438" s="53" t="s">
        <v>725</v>
      </c>
      <c r="R438" s="166" t="s">
        <v>208</v>
      </c>
      <c r="S438" s="166" t="str">
        <f>MID(PAA[[#This Row],[Meta Proyecto de Inversión]],1,4)</f>
        <v>8126</v>
      </c>
      <c r="T438" s="166" t="str">
        <f>MID(PAA[[#This Row],[Meta Proyecto de Inversión]],6,2)</f>
        <v>9-</v>
      </c>
      <c r="U438" s="167" t="str">
        <f>IFERROR(VLOOKUP(N438,TD!$B$54:$F$58,2,0)," ")</f>
        <v>O230117</v>
      </c>
      <c r="V438" s="167" t="str">
        <f>IFERROR(VLOOKUP(N438,TD!$B$54:$F$58,3,0)," ")</f>
        <v>4599</v>
      </c>
      <c r="W438" s="167">
        <f>IFERROR(VLOOKUP(N438,TD!$B$54:$F$58,4,0)," ")</f>
        <v>20240207</v>
      </c>
      <c r="X438" s="166" t="s">
        <v>174</v>
      </c>
      <c r="Y438" s="167" t="str">
        <f>IFERROR(VLOOKUP(X438,TD!$J$55:$K$68,2,0)," ")</f>
        <v>Infraestructura física, mantenimiento y dotación (Sedes construidas, mantenidas reforzadas)</v>
      </c>
      <c r="Z438" s="168" t="str">
        <f>CONCATENATE(X438,"-",Y438)</f>
        <v>08-Infraestructura física, mantenimiento y dotación (Sedes construidas, mantenidas reforzadas)</v>
      </c>
      <c r="AA438" s="166" t="s">
        <v>227</v>
      </c>
      <c r="AB438" s="167" t="str">
        <f>IFERROR(VLOOKUP(AA438,TD!$N$55:$O$70,2,0)," ")</f>
        <v>Sedes mantenidas</v>
      </c>
      <c r="AC438" s="168" t="str">
        <f>CONCATENATE(AA438,"_",AB438)</f>
        <v>016_Sedes mantenidas</v>
      </c>
      <c r="AD438" s="168" t="str">
        <f>CONCATENATE(Z438," ",AC438)</f>
        <v>08-Infraestructura física, mantenimiento y dotación (Sedes construidas, mantenidas reforzadas) 016_Sedes mantenidas</v>
      </c>
      <c r="AE438" s="167" t="str">
        <f>CONCATENATE(U438,V438,W438,X438,AA438)</f>
        <v>O23011745992024020708016</v>
      </c>
      <c r="AF438" s="167" t="str">
        <f>IFERROR(VLOOKUP(AD438,TD!$J$70:$K$93,2,0)," ")</f>
        <v>PM/0131/0108/45990160207</v>
      </c>
      <c r="AG438" s="114" t="s">
        <v>385</v>
      </c>
      <c r="AH438" s="166" t="s">
        <v>193</v>
      </c>
      <c r="AI438" s="169" t="str">
        <f>CONCATENATE(PAA[[#This Row],[Id Interno]],"-",PAA[[#This Row],[tipo de Contrato (TH talento humano - B/S bienes y/o servicios)]],"-",S438,"-",T438,"-",PAA[[#This Row],[Objeto de la contratación]])</f>
        <v>20260409-TH-8126-9--Prestación de servicios de apoyo en la gestión de seguros de la Subdirección de Gestión Corporativa. –SGC</v>
      </c>
    </row>
    <row r="439" spans="2:35" ht="42" x14ac:dyDescent="0.35">
      <c r="B439" s="23">
        <v>20260410</v>
      </c>
      <c r="C439" s="97" t="s">
        <v>642</v>
      </c>
      <c r="D439" s="23" t="s">
        <v>105</v>
      </c>
      <c r="E439" s="23" t="s">
        <v>363</v>
      </c>
      <c r="F439" s="163" t="s">
        <v>144</v>
      </c>
      <c r="G439" s="164" t="s">
        <v>373</v>
      </c>
      <c r="H439" s="165">
        <v>11</v>
      </c>
      <c r="I439" s="165">
        <v>0</v>
      </c>
      <c r="J439" s="122">
        <v>56771957</v>
      </c>
      <c r="K439" s="88" t="s">
        <v>398</v>
      </c>
      <c r="L439" s="163" t="s">
        <v>155</v>
      </c>
      <c r="M439" s="166" t="s">
        <v>422</v>
      </c>
      <c r="N439" s="23" t="s">
        <v>197</v>
      </c>
      <c r="O439" s="144" t="s">
        <v>886</v>
      </c>
      <c r="P439" s="163" t="s">
        <v>348</v>
      </c>
      <c r="Q439" s="53" t="s">
        <v>725</v>
      </c>
      <c r="R439" s="166" t="s">
        <v>208</v>
      </c>
      <c r="S439" s="166" t="str">
        <f>MID(PAA[[#This Row],[Meta Proyecto de Inversión]],1,4)</f>
        <v>8126</v>
      </c>
      <c r="T439" s="166" t="str">
        <f>MID(PAA[[#This Row],[Meta Proyecto de Inversión]],6,2)</f>
        <v>9-</v>
      </c>
      <c r="U439" s="167" t="str">
        <f>IFERROR(VLOOKUP(N439,TD!$B$54:$F$58,2,0)," ")</f>
        <v>O230117</v>
      </c>
      <c r="V439" s="167" t="str">
        <f>IFERROR(VLOOKUP(N439,TD!$B$54:$F$58,3,0)," ")</f>
        <v>4599</v>
      </c>
      <c r="W439" s="167">
        <f>IFERROR(VLOOKUP(N439,TD!$B$54:$F$58,4,0)," ")</f>
        <v>20240207</v>
      </c>
      <c r="X439" s="166" t="s">
        <v>174</v>
      </c>
      <c r="Y439" s="167" t="str">
        <f>IFERROR(VLOOKUP(X439,TD!$J$55:$K$68,2,0)," ")</f>
        <v>Infraestructura física, mantenimiento y dotación (Sedes construidas, mantenidas reforzadas)</v>
      </c>
      <c r="Z439" s="168" t="str">
        <f>CONCATENATE(X439,"-",Y439)</f>
        <v>08-Infraestructura física, mantenimiento y dotación (Sedes construidas, mantenidas reforzadas)</v>
      </c>
      <c r="AA439" s="166" t="s">
        <v>227</v>
      </c>
      <c r="AB439" s="167" t="str">
        <f>IFERROR(VLOOKUP(AA439,TD!$N$55:$O$70,2,0)," ")</f>
        <v>Sedes mantenidas</v>
      </c>
      <c r="AC439" s="168" t="str">
        <f>CONCATENATE(AA439,"_",AB439)</f>
        <v>016_Sedes mantenidas</v>
      </c>
      <c r="AD439" s="168" t="str">
        <f>CONCATENATE(Z439," ",AC439)</f>
        <v>08-Infraestructura física, mantenimiento y dotación (Sedes construidas, mantenidas reforzadas) 016_Sedes mantenidas</v>
      </c>
      <c r="AE439" s="167" t="str">
        <f>CONCATENATE(U439,V439,W439,X439,AA439)</f>
        <v>O23011745992024020708016</v>
      </c>
      <c r="AF439" s="167" t="str">
        <f>IFERROR(VLOOKUP(AD439,TD!$J$70:$K$93,2,0)," ")</f>
        <v>PM/0131/0108/45990160207</v>
      </c>
      <c r="AG439" s="114" t="s">
        <v>385</v>
      </c>
      <c r="AH439" s="166" t="s">
        <v>193</v>
      </c>
      <c r="AI439" s="169" t="str">
        <f>CONCATENATE(PAA[[#This Row],[Id Interno]],"-",PAA[[#This Row],[tipo de Contrato (TH talento humano - B/S bienes y/o servicios)]],"-",S439,"-",T439,"-",PAA[[#This Row],[Objeto de la contratación]])</f>
        <v>20260410-TH-8126-9--Prestación de servicios profesionales para apoyar a la Subdirección de Gestión Corporativa aplicando los procesos y procedimientos de seguros e inventarios -SGC</v>
      </c>
    </row>
    <row r="440" spans="2:35" ht="42" x14ac:dyDescent="0.35">
      <c r="B440" s="23">
        <v>20260411</v>
      </c>
      <c r="C440" s="97" t="s">
        <v>643</v>
      </c>
      <c r="D440" s="23" t="s">
        <v>105</v>
      </c>
      <c r="E440" s="23" t="s">
        <v>363</v>
      </c>
      <c r="F440" s="163" t="s">
        <v>145</v>
      </c>
      <c r="G440" s="164" t="s">
        <v>373</v>
      </c>
      <c r="H440" s="165">
        <v>11</v>
      </c>
      <c r="I440" s="165">
        <v>0</v>
      </c>
      <c r="J440" s="122">
        <v>36127608</v>
      </c>
      <c r="K440" s="88" t="s">
        <v>398</v>
      </c>
      <c r="L440" s="163" t="s">
        <v>155</v>
      </c>
      <c r="M440" s="166" t="s">
        <v>422</v>
      </c>
      <c r="N440" s="23" t="s">
        <v>197</v>
      </c>
      <c r="O440" s="144" t="s">
        <v>886</v>
      </c>
      <c r="P440" s="163" t="s">
        <v>348</v>
      </c>
      <c r="Q440" s="53" t="s">
        <v>725</v>
      </c>
      <c r="R440" s="166" t="s">
        <v>208</v>
      </c>
      <c r="S440" s="166" t="str">
        <f>MID(PAA[[#This Row],[Meta Proyecto de Inversión]],1,4)</f>
        <v>8126</v>
      </c>
      <c r="T440" s="166" t="str">
        <f>MID(PAA[[#This Row],[Meta Proyecto de Inversión]],6,2)</f>
        <v>9-</v>
      </c>
      <c r="U440" s="167" t="str">
        <f>IFERROR(VLOOKUP(N440,TD!$B$54:$F$58,2,0)," ")</f>
        <v>O230117</v>
      </c>
      <c r="V440" s="167" t="str">
        <f>IFERROR(VLOOKUP(N440,TD!$B$54:$F$58,3,0)," ")</f>
        <v>4599</v>
      </c>
      <c r="W440" s="167">
        <f>IFERROR(VLOOKUP(N440,TD!$B$54:$F$58,4,0)," ")</f>
        <v>20240207</v>
      </c>
      <c r="X440" s="166" t="s">
        <v>174</v>
      </c>
      <c r="Y440" s="167" t="str">
        <f>IFERROR(VLOOKUP(X440,TD!$J$55:$K$68,2,0)," ")</f>
        <v>Infraestructura física, mantenimiento y dotación (Sedes construidas, mantenidas reforzadas)</v>
      </c>
      <c r="Z440" s="168" t="str">
        <f>CONCATENATE(X440,"-",Y440)</f>
        <v>08-Infraestructura física, mantenimiento y dotación (Sedes construidas, mantenidas reforzadas)</v>
      </c>
      <c r="AA440" s="166" t="s">
        <v>227</v>
      </c>
      <c r="AB440" s="167" t="str">
        <f>IFERROR(VLOOKUP(AA440,TD!$N$55:$O$70,2,0)," ")</f>
        <v>Sedes mantenidas</v>
      </c>
      <c r="AC440" s="168" t="str">
        <f>CONCATENATE(AA440,"_",AB440)</f>
        <v>016_Sedes mantenidas</v>
      </c>
      <c r="AD440" s="168" t="str">
        <f>CONCATENATE(Z440," ",AC440)</f>
        <v>08-Infraestructura física, mantenimiento y dotación (Sedes construidas, mantenidas reforzadas) 016_Sedes mantenidas</v>
      </c>
      <c r="AE440" s="167" t="str">
        <f>CONCATENATE(U440,V440,W440,X440,AA440)</f>
        <v>O23011745992024020708016</v>
      </c>
      <c r="AF440" s="167" t="str">
        <f>IFERROR(VLOOKUP(AD440,TD!$J$70:$K$93,2,0)," ")</f>
        <v>PM/0131/0108/45990160207</v>
      </c>
      <c r="AG440" s="114" t="s">
        <v>385</v>
      </c>
      <c r="AH440" s="166" t="s">
        <v>193</v>
      </c>
      <c r="AI440" s="169" t="str">
        <f>CONCATENATE(PAA[[#This Row],[Id Interno]],"-",PAA[[#This Row],[tipo de Contrato (TH talento humano - B/S bienes y/o servicios)]],"-",S440,"-",T440,"-",PAA[[#This Row],[Objeto de la contratación]])</f>
        <v>20260411-TH-8126-9--Prestación de servicios de apoyo a la gestión de seguros de la Subdirección de Gestión Corporativa. –SGC</v>
      </c>
    </row>
    <row r="441" spans="2:35" ht="42" x14ac:dyDescent="0.35">
      <c r="B441" s="97">
        <v>20260412</v>
      </c>
      <c r="C441" s="97" t="s">
        <v>644</v>
      </c>
      <c r="D441" s="97" t="s">
        <v>105</v>
      </c>
      <c r="E441" s="97" t="s">
        <v>363</v>
      </c>
      <c r="F441" s="164" t="s">
        <v>144</v>
      </c>
      <c r="G441" s="164" t="s">
        <v>373</v>
      </c>
      <c r="H441" s="170">
        <v>4</v>
      </c>
      <c r="I441" s="170">
        <v>0</v>
      </c>
      <c r="J441" s="114">
        <v>29491924</v>
      </c>
      <c r="K441" s="121" t="s">
        <v>398</v>
      </c>
      <c r="L441" s="164" t="s">
        <v>155</v>
      </c>
      <c r="M441" s="171" t="s">
        <v>422</v>
      </c>
      <c r="N441" s="97" t="s">
        <v>197</v>
      </c>
      <c r="O441" s="144" t="s">
        <v>886</v>
      </c>
      <c r="P441" s="164" t="s">
        <v>348</v>
      </c>
      <c r="Q441" s="123" t="s">
        <v>725</v>
      </c>
      <c r="R441" s="171" t="s">
        <v>208</v>
      </c>
      <c r="S441" s="166" t="str">
        <f>MID(PAA[[#This Row],[Meta Proyecto de Inversión]],1,4)</f>
        <v>8126</v>
      </c>
      <c r="T441" s="166" t="str">
        <f>MID(PAA[[#This Row],[Meta Proyecto de Inversión]],6,2)</f>
        <v>9-</v>
      </c>
      <c r="U441" s="172" t="str">
        <f>IFERROR(VLOOKUP(N441,TD!$B$54:$F$58,2,0)," ")</f>
        <v>O230117</v>
      </c>
      <c r="V441" s="172" t="str">
        <f>IFERROR(VLOOKUP(N441,TD!$B$54:$F$58,3,0)," ")</f>
        <v>4599</v>
      </c>
      <c r="W441" s="172">
        <f>IFERROR(VLOOKUP(N441,TD!$B$54:$F$58,4,0)," ")</f>
        <v>20240207</v>
      </c>
      <c r="X441" s="171" t="s">
        <v>174</v>
      </c>
      <c r="Y441" s="172" t="str">
        <f>IFERROR(VLOOKUP(X441,TD!$J$55:$K$68,2,0)," ")</f>
        <v>Infraestructura física, mantenimiento y dotación (Sedes construidas, mantenidas reforzadas)</v>
      </c>
      <c r="Z441" s="168" t="str">
        <f>CONCATENATE(X441,"-",Y441)</f>
        <v>08-Infraestructura física, mantenimiento y dotación (Sedes construidas, mantenidas reforzadas)</v>
      </c>
      <c r="AA441" s="171" t="s">
        <v>227</v>
      </c>
      <c r="AB441" s="172" t="str">
        <f>IFERROR(VLOOKUP(AA441,TD!$N$55:$O$70,2,0)," ")</f>
        <v>Sedes mantenidas</v>
      </c>
      <c r="AC441" s="168" t="str">
        <f>CONCATENATE(AA441,"_",AB441)</f>
        <v>016_Sedes mantenidas</v>
      </c>
      <c r="AD441" s="168" t="str">
        <f>CONCATENATE(Z441," ",AC441)</f>
        <v>08-Infraestructura física, mantenimiento y dotación (Sedes construidas, mantenidas reforzadas) 016_Sedes mantenidas</v>
      </c>
      <c r="AE441" s="172" t="str">
        <f>CONCATENATE(U441,V441,W441,X441,AA441)</f>
        <v>O23011745992024020708016</v>
      </c>
      <c r="AF441" s="172" t="str">
        <f>IFERROR(VLOOKUP(AD441,TD!$J$70:$K$93,2,0)," ")</f>
        <v>PM/0131/0108/45990160207</v>
      </c>
      <c r="AG441" s="114" t="s">
        <v>385</v>
      </c>
      <c r="AH441" s="171" t="s">
        <v>193</v>
      </c>
      <c r="AI441" s="173" t="str">
        <f>CONCATENATE(PAA[[#This Row],[Id Interno]],"-",PAA[[#This Row],[tipo de Contrato (TH talento humano - B/S bienes y/o servicios)]],"-",S441,"-",T441,"-",PAA[[#This Row],[Objeto de la contratación]])</f>
        <v>20260412-TH-8126-9--Prestación de servicios profesionales en la Subdirección de Gestión Corporativa en las actividades relacionadas con MIPG-SGC</v>
      </c>
    </row>
    <row r="442" spans="2:35" ht="42" x14ac:dyDescent="0.35">
      <c r="B442" s="23">
        <v>20260414</v>
      </c>
      <c r="C442" s="97" t="s">
        <v>646</v>
      </c>
      <c r="D442" s="23" t="s">
        <v>105</v>
      </c>
      <c r="E442" s="23" t="s">
        <v>363</v>
      </c>
      <c r="F442" s="163" t="s">
        <v>145</v>
      </c>
      <c r="G442" s="164" t="s">
        <v>373</v>
      </c>
      <c r="H442" s="165">
        <v>11</v>
      </c>
      <c r="I442" s="165">
        <v>0</v>
      </c>
      <c r="J442" s="122">
        <v>30872692</v>
      </c>
      <c r="K442" s="88" t="s">
        <v>398</v>
      </c>
      <c r="L442" s="163" t="s">
        <v>155</v>
      </c>
      <c r="M442" s="166" t="s">
        <v>422</v>
      </c>
      <c r="N442" s="23" t="s">
        <v>197</v>
      </c>
      <c r="O442" s="144" t="s">
        <v>886</v>
      </c>
      <c r="P442" s="163" t="s">
        <v>348</v>
      </c>
      <c r="Q442" s="53" t="s">
        <v>725</v>
      </c>
      <c r="R442" s="166" t="s">
        <v>208</v>
      </c>
      <c r="S442" s="166" t="str">
        <f>MID(PAA[[#This Row],[Meta Proyecto de Inversión]],1,4)</f>
        <v>8126</v>
      </c>
      <c r="T442" s="166" t="str">
        <f>MID(PAA[[#This Row],[Meta Proyecto de Inversión]],6,2)</f>
        <v>9-</v>
      </c>
      <c r="U442" s="167" t="str">
        <f>IFERROR(VLOOKUP(N442,TD!$B$54:$F$58,2,0)," ")</f>
        <v>O230117</v>
      </c>
      <c r="V442" s="167" t="str">
        <f>IFERROR(VLOOKUP(N442,TD!$B$54:$F$58,3,0)," ")</f>
        <v>4599</v>
      </c>
      <c r="W442" s="167">
        <f>IFERROR(VLOOKUP(N442,TD!$B$54:$F$58,4,0)," ")</f>
        <v>20240207</v>
      </c>
      <c r="X442" s="166" t="s">
        <v>174</v>
      </c>
      <c r="Y442" s="167" t="str">
        <f>IFERROR(VLOOKUP(X442,TD!$J$55:$K$68,2,0)," ")</f>
        <v>Infraestructura física, mantenimiento y dotación (Sedes construidas, mantenidas reforzadas)</v>
      </c>
      <c r="Z442" s="168" t="str">
        <f>CONCATENATE(X442,"-",Y442)</f>
        <v>08-Infraestructura física, mantenimiento y dotación (Sedes construidas, mantenidas reforzadas)</v>
      </c>
      <c r="AA442" s="166" t="s">
        <v>227</v>
      </c>
      <c r="AB442" s="167" t="str">
        <f>IFERROR(VLOOKUP(AA442,TD!$N$55:$O$70,2,0)," ")</f>
        <v>Sedes mantenidas</v>
      </c>
      <c r="AC442" s="168" t="str">
        <f>CONCATENATE(AA442,"_",AB442)</f>
        <v>016_Sedes mantenidas</v>
      </c>
      <c r="AD442" s="168" t="str">
        <f>CONCATENATE(Z442," ",AC442)</f>
        <v>08-Infraestructura física, mantenimiento y dotación (Sedes construidas, mantenidas reforzadas) 016_Sedes mantenidas</v>
      </c>
      <c r="AE442" s="167" t="str">
        <f>CONCATENATE(U442,V442,W442,X442,AA442)</f>
        <v>O23011745992024020708016</v>
      </c>
      <c r="AF442" s="167" t="str">
        <f>IFERROR(VLOOKUP(AD442,TD!$J$70:$K$93,2,0)," ")</f>
        <v>PM/0131/0108/45990160207</v>
      </c>
      <c r="AG442" s="114" t="s">
        <v>385</v>
      </c>
      <c r="AH442" s="166" t="s">
        <v>193</v>
      </c>
      <c r="AI442" s="169" t="str">
        <f>CONCATENATE(PAA[[#This Row],[Id Interno]],"-",PAA[[#This Row],[tipo de Contrato (TH talento humano - B/S bienes y/o servicios)]],"-",S442,"-",T442,"-",PAA[[#This Row],[Objeto de la contratación]])</f>
        <v>20260414-TH-8126-9--Prestación de servicios de apoyo a la gestión del proceso de inventarios de la Subdirección de Gestión Corporativa.-SGC</v>
      </c>
    </row>
    <row r="443" spans="2:35" ht="42" x14ac:dyDescent="0.35">
      <c r="B443" s="23">
        <v>20260415</v>
      </c>
      <c r="C443" s="97" t="s">
        <v>646</v>
      </c>
      <c r="D443" s="23" t="s">
        <v>105</v>
      </c>
      <c r="E443" s="23" t="s">
        <v>363</v>
      </c>
      <c r="F443" s="163" t="s">
        <v>145</v>
      </c>
      <c r="G443" s="164" t="s">
        <v>373</v>
      </c>
      <c r="H443" s="165">
        <v>11</v>
      </c>
      <c r="I443" s="165">
        <v>0</v>
      </c>
      <c r="J443" s="122">
        <v>30872692</v>
      </c>
      <c r="K443" s="88" t="s">
        <v>398</v>
      </c>
      <c r="L443" s="163" t="s">
        <v>155</v>
      </c>
      <c r="M443" s="166" t="s">
        <v>422</v>
      </c>
      <c r="N443" s="23" t="s">
        <v>197</v>
      </c>
      <c r="O443" s="144" t="s">
        <v>886</v>
      </c>
      <c r="P443" s="163" t="s">
        <v>348</v>
      </c>
      <c r="Q443" s="53" t="s">
        <v>725</v>
      </c>
      <c r="R443" s="166" t="s">
        <v>208</v>
      </c>
      <c r="S443" s="166" t="str">
        <f>MID(PAA[[#This Row],[Meta Proyecto de Inversión]],1,4)</f>
        <v>8126</v>
      </c>
      <c r="T443" s="166" t="str">
        <f>MID(PAA[[#This Row],[Meta Proyecto de Inversión]],6,2)</f>
        <v>9-</v>
      </c>
      <c r="U443" s="167" t="str">
        <f>IFERROR(VLOOKUP(N443,TD!$B$54:$F$58,2,0)," ")</f>
        <v>O230117</v>
      </c>
      <c r="V443" s="167" t="str">
        <f>IFERROR(VLOOKUP(N443,TD!$B$54:$F$58,3,0)," ")</f>
        <v>4599</v>
      </c>
      <c r="W443" s="167">
        <f>IFERROR(VLOOKUP(N443,TD!$B$54:$F$58,4,0)," ")</f>
        <v>20240207</v>
      </c>
      <c r="X443" s="166" t="s">
        <v>174</v>
      </c>
      <c r="Y443" s="167" t="str">
        <f>IFERROR(VLOOKUP(X443,TD!$J$55:$K$68,2,0)," ")</f>
        <v>Infraestructura física, mantenimiento y dotación (Sedes construidas, mantenidas reforzadas)</v>
      </c>
      <c r="Z443" s="168" t="str">
        <f>CONCATENATE(X443,"-",Y443)</f>
        <v>08-Infraestructura física, mantenimiento y dotación (Sedes construidas, mantenidas reforzadas)</v>
      </c>
      <c r="AA443" s="166" t="s">
        <v>227</v>
      </c>
      <c r="AB443" s="167" t="str">
        <f>IFERROR(VLOOKUP(AA443,TD!$N$55:$O$70,2,0)," ")</f>
        <v>Sedes mantenidas</v>
      </c>
      <c r="AC443" s="168" t="str">
        <f>CONCATENATE(AA443,"_",AB443)</f>
        <v>016_Sedes mantenidas</v>
      </c>
      <c r="AD443" s="168" t="str">
        <f>CONCATENATE(Z443," ",AC443)</f>
        <v>08-Infraestructura física, mantenimiento y dotación (Sedes construidas, mantenidas reforzadas) 016_Sedes mantenidas</v>
      </c>
      <c r="AE443" s="167" t="str">
        <f>CONCATENATE(U443,V443,W443,X443,AA443)</f>
        <v>O23011745992024020708016</v>
      </c>
      <c r="AF443" s="167" t="str">
        <f>IFERROR(VLOOKUP(AD443,TD!$J$70:$K$93,2,0)," ")</f>
        <v>PM/0131/0108/45990160207</v>
      </c>
      <c r="AG443" s="114" t="s">
        <v>385</v>
      </c>
      <c r="AH443" s="166" t="s">
        <v>193</v>
      </c>
      <c r="AI443" s="169" t="str">
        <f>CONCATENATE(PAA[[#This Row],[Id Interno]],"-",PAA[[#This Row],[tipo de Contrato (TH talento humano - B/S bienes y/o servicios)]],"-",S443,"-",T443,"-",PAA[[#This Row],[Objeto de la contratación]])</f>
        <v>20260415-TH-8126-9--Prestación de servicios de apoyo a la gestión del proceso de inventarios de la Subdirección de Gestión Corporativa.-SGC</v>
      </c>
    </row>
    <row r="444" spans="2:35" ht="42" x14ac:dyDescent="0.35">
      <c r="B444" s="23">
        <v>20260416</v>
      </c>
      <c r="C444" s="97" t="s">
        <v>646</v>
      </c>
      <c r="D444" s="23" t="s">
        <v>105</v>
      </c>
      <c r="E444" s="23" t="s">
        <v>363</v>
      </c>
      <c r="F444" s="163" t="s">
        <v>145</v>
      </c>
      <c r="G444" s="164" t="s">
        <v>373</v>
      </c>
      <c r="H444" s="165">
        <v>11</v>
      </c>
      <c r="I444" s="165">
        <v>0</v>
      </c>
      <c r="J444" s="122">
        <v>30872692</v>
      </c>
      <c r="K444" s="88" t="s">
        <v>398</v>
      </c>
      <c r="L444" s="163" t="s">
        <v>155</v>
      </c>
      <c r="M444" s="166" t="s">
        <v>422</v>
      </c>
      <c r="N444" s="23" t="s">
        <v>197</v>
      </c>
      <c r="O444" s="144" t="s">
        <v>886</v>
      </c>
      <c r="P444" s="163" t="s">
        <v>348</v>
      </c>
      <c r="Q444" s="53" t="s">
        <v>725</v>
      </c>
      <c r="R444" s="166" t="s">
        <v>208</v>
      </c>
      <c r="S444" s="166" t="str">
        <f>MID(PAA[[#This Row],[Meta Proyecto de Inversión]],1,4)</f>
        <v>8126</v>
      </c>
      <c r="T444" s="166" t="str">
        <f>MID(PAA[[#This Row],[Meta Proyecto de Inversión]],6,2)</f>
        <v>9-</v>
      </c>
      <c r="U444" s="167" t="str">
        <f>IFERROR(VLOOKUP(N444,TD!$B$54:$F$58,2,0)," ")</f>
        <v>O230117</v>
      </c>
      <c r="V444" s="167" t="str">
        <f>IFERROR(VLOOKUP(N444,TD!$B$54:$F$58,3,0)," ")</f>
        <v>4599</v>
      </c>
      <c r="W444" s="167">
        <f>IFERROR(VLOOKUP(N444,TD!$B$54:$F$58,4,0)," ")</f>
        <v>20240207</v>
      </c>
      <c r="X444" s="166" t="s">
        <v>174</v>
      </c>
      <c r="Y444" s="167" t="str">
        <f>IFERROR(VLOOKUP(X444,TD!$J$55:$K$68,2,0)," ")</f>
        <v>Infraestructura física, mantenimiento y dotación (Sedes construidas, mantenidas reforzadas)</v>
      </c>
      <c r="Z444" s="168" t="str">
        <f>CONCATENATE(X444,"-",Y444)</f>
        <v>08-Infraestructura física, mantenimiento y dotación (Sedes construidas, mantenidas reforzadas)</v>
      </c>
      <c r="AA444" s="166" t="s">
        <v>227</v>
      </c>
      <c r="AB444" s="167" t="str">
        <f>IFERROR(VLOOKUP(AA444,TD!$N$55:$O$70,2,0)," ")</f>
        <v>Sedes mantenidas</v>
      </c>
      <c r="AC444" s="168" t="str">
        <f>CONCATENATE(AA444,"_",AB444)</f>
        <v>016_Sedes mantenidas</v>
      </c>
      <c r="AD444" s="168" t="str">
        <f>CONCATENATE(Z444," ",AC444)</f>
        <v>08-Infraestructura física, mantenimiento y dotación (Sedes construidas, mantenidas reforzadas) 016_Sedes mantenidas</v>
      </c>
      <c r="AE444" s="167" t="str">
        <f>CONCATENATE(U444,V444,W444,X444,AA444)</f>
        <v>O23011745992024020708016</v>
      </c>
      <c r="AF444" s="167" t="str">
        <f>IFERROR(VLOOKUP(AD444,TD!$J$70:$K$93,2,0)," ")</f>
        <v>PM/0131/0108/45990160207</v>
      </c>
      <c r="AG444" s="114" t="s">
        <v>385</v>
      </c>
      <c r="AH444" s="166" t="s">
        <v>193</v>
      </c>
      <c r="AI444" s="169" t="str">
        <f>CONCATENATE(PAA[[#This Row],[Id Interno]],"-",PAA[[#This Row],[tipo de Contrato (TH talento humano - B/S bienes y/o servicios)]],"-",S444,"-",T444,"-",PAA[[#This Row],[Objeto de la contratación]])</f>
        <v>20260416-TH-8126-9--Prestación de servicios de apoyo a la gestión del proceso de inventarios de la Subdirección de Gestión Corporativa.-SGC</v>
      </c>
    </row>
    <row r="445" spans="2:35" ht="42" x14ac:dyDescent="0.35">
      <c r="B445" s="23">
        <v>20260417</v>
      </c>
      <c r="C445" s="97" t="s">
        <v>647</v>
      </c>
      <c r="D445" s="23" t="s">
        <v>105</v>
      </c>
      <c r="E445" s="23" t="s">
        <v>363</v>
      </c>
      <c r="F445" s="163" t="s">
        <v>144</v>
      </c>
      <c r="G445" s="164" t="s">
        <v>373</v>
      </c>
      <c r="H445" s="165">
        <v>11</v>
      </c>
      <c r="I445" s="165">
        <v>0</v>
      </c>
      <c r="J445" s="122">
        <v>102033998</v>
      </c>
      <c r="K445" s="88" t="s">
        <v>398</v>
      </c>
      <c r="L445" s="163" t="s">
        <v>155</v>
      </c>
      <c r="M445" s="166" t="s">
        <v>422</v>
      </c>
      <c r="N445" s="23" t="s">
        <v>197</v>
      </c>
      <c r="O445" s="144" t="s">
        <v>886</v>
      </c>
      <c r="P445" s="163" t="s">
        <v>348</v>
      </c>
      <c r="Q445" s="53" t="s">
        <v>725</v>
      </c>
      <c r="R445" s="166" t="s">
        <v>208</v>
      </c>
      <c r="S445" s="166" t="str">
        <f>MID(PAA[[#This Row],[Meta Proyecto de Inversión]],1,4)</f>
        <v>8126</v>
      </c>
      <c r="T445" s="166" t="str">
        <f>MID(PAA[[#This Row],[Meta Proyecto de Inversión]],6,2)</f>
        <v>9-</v>
      </c>
      <c r="U445" s="167" t="str">
        <f>IFERROR(VLOOKUP(N445,TD!$B$54:$F$58,2,0)," ")</f>
        <v>O230117</v>
      </c>
      <c r="V445" s="167" t="str">
        <f>IFERROR(VLOOKUP(N445,TD!$B$54:$F$58,3,0)," ")</f>
        <v>4599</v>
      </c>
      <c r="W445" s="167">
        <f>IFERROR(VLOOKUP(N445,TD!$B$54:$F$58,4,0)," ")</f>
        <v>20240207</v>
      </c>
      <c r="X445" s="166" t="s">
        <v>174</v>
      </c>
      <c r="Y445" s="167" t="str">
        <f>IFERROR(VLOOKUP(X445,TD!$J$55:$K$68,2,0)," ")</f>
        <v>Infraestructura física, mantenimiento y dotación (Sedes construidas, mantenidas reforzadas)</v>
      </c>
      <c r="Z445" s="168" t="str">
        <f>CONCATENATE(X445,"-",Y445)</f>
        <v>08-Infraestructura física, mantenimiento y dotación (Sedes construidas, mantenidas reforzadas)</v>
      </c>
      <c r="AA445" s="166" t="s">
        <v>227</v>
      </c>
      <c r="AB445" s="167" t="str">
        <f>IFERROR(VLOOKUP(AA445,TD!$N$55:$O$70,2,0)," ")</f>
        <v>Sedes mantenidas</v>
      </c>
      <c r="AC445" s="168" t="str">
        <f>CONCATENATE(AA445,"_",AB445)</f>
        <v>016_Sedes mantenidas</v>
      </c>
      <c r="AD445" s="168" t="str">
        <f>CONCATENATE(Z445," ",AC445)</f>
        <v>08-Infraestructura física, mantenimiento y dotación (Sedes construidas, mantenidas reforzadas) 016_Sedes mantenidas</v>
      </c>
      <c r="AE445" s="167" t="str">
        <f>CONCATENATE(U445,V445,W445,X445,AA445)</f>
        <v>O23011745992024020708016</v>
      </c>
      <c r="AF445" s="167" t="str">
        <f>IFERROR(VLOOKUP(AD445,TD!$J$70:$K$93,2,0)," ")</f>
        <v>PM/0131/0108/45990160207</v>
      </c>
      <c r="AG445" s="114" t="s">
        <v>385</v>
      </c>
      <c r="AH445" s="166" t="s">
        <v>193</v>
      </c>
      <c r="AI445" s="169" t="str">
        <f>CONCATENATE(PAA[[#This Row],[Id Interno]],"-",PAA[[#This Row],[tipo de Contrato (TH talento humano - B/S bienes y/o servicios)]],"-",S445,"-",T445,"-",PAA[[#This Row],[Objeto de la contratación]])</f>
        <v>20260417-TH-8126-9--Prestar servicios profesionales en la Subdirección de Gestión Corporativa en lo relacionado con los procesos de inventarios, almacén y bajas-SGC</v>
      </c>
    </row>
    <row r="446" spans="2:35" ht="42" x14ac:dyDescent="0.35">
      <c r="B446" s="23">
        <v>20260418</v>
      </c>
      <c r="C446" s="97" t="s">
        <v>648</v>
      </c>
      <c r="D446" s="23" t="s">
        <v>105</v>
      </c>
      <c r="E446" s="23" t="s">
        <v>363</v>
      </c>
      <c r="F446" s="163" t="s">
        <v>144</v>
      </c>
      <c r="G446" s="164" t="s">
        <v>373</v>
      </c>
      <c r="H446" s="165">
        <v>11</v>
      </c>
      <c r="I446" s="165">
        <v>0</v>
      </c>
      <c r="J446" s="122">
        <v>82390000</v>
      </c>
      <c r="K446" s="88" t="s">
        <v>398</v>
      </c>
      <c r="L446" s="163" t="s">
        <v>155</v>
      </c>
      <c r="M446" s="166" t="s">
        <v>422</v>
      </c>
      <c r="N446" s="23" t="s">
        <v>197</v>
      </c>
      <c r="O446" s="144" t="s">
        <v>886</v>
      </c>
      <c r="P446" s="163" t="s">
        <v>348</v>
      </c>
      <c r="Q446" s="53" t="s">
        <v>725</v>
      </c>
      <c r="R446" s="166" t="s">
        <v>208</v>
      </c>
      <c r="S446" s="166" t="str">
        <f>MID(PAA[[#This Row],[Meta Proyecto de Inversión]],1,4)</f>
        <v>8126</v>
      </c>
      <c r="T446" s="166" t="str">
        <f>MID(PAA[[#This Row],[Meta Proyecto de Inversión]],6,2)</f>
        <v>9-</v>
      </c>
      <c r="U446" s="167" t="str">
        <f>IFERROR(VLOOKUP(N446,TD!$B$54:$F$58,2,0)," ")</f>
        <v>O230117</v>
      </c>
      <c r="V446" s="167" t="str">
        <f>IFERROR(VLOOKUP(N446,TD!$B$54:$F$58,3,0)," ")</f>
        <v>4599</v>
      </c>
      <c r="W446" s="167">
        <f>IFERROR(VLOOKUP(N446,TD!$B$54:$F$58,4,0)," ")</f>
        <v>20240207</v>
      </c>
      <c r="X446" s="166" t="s">
        <v>174</v>
      </c>
      <c r="Y446" s="167" t="str">
        <f>IFERROR(VLOOKUP(X446,TD!$J$55:$K$68,2,0)," ")</f>
        <v>Infraestructura física, mantenimiento y dotación (Sedes construidas, mantenidas reforzadas)</v>
      </c>
      <c r="Z446" s="168" t="str">
        <f>CONCATENATE(X446,"-",Y446)</f>
        <v>08-Infraestructura física, mantenimiento y dotación (Sedes construidas, mantenidas reforzadas)</v>
      </c>
      <c r="AA446" s="166" t="s">
        <v>227</v>
      </c>
      <c r="AB446" s="167" t="str">
        <f>IFERROR(VLOOKUP(AA446,TD!$N$55:$O$70,2,0)," ")</f>
        <v>Sedes mantenidas</v>
      </c>
      <c r="AC446" s="168" t="str">
        <f>CONCATENATE(AA446,"_",AB446)</f>
        <v>016_Sedes mantenidas</v>
      </c>
      <c r="AD446" s="168" t="str">
        <f>CONCATENATE(Z446," ",AC446)</f>
        <v>08-Infraestructura física, mantenimiento y dotación (Sedes construidas, mantenidas reforzadas) 016_Sedes mantenidas</v>
      </c>
      <c r="AE446" s="167" t="str">
        <f>CONCATENATE(U446,V446,W446,X446,AA446)</f>
        <v>O23011745992024020708016</v>
      </c>
      <c r="AF446" s="167" t="str">
        <f>IFERROR(VLOOKUP(AD446,TD!$J$70:$K$93,2,0)," ")</f>
        <v>PM/0131/0108/45990160207</v>
      </c>
      <c r="AG446" s="114" t="s">
        <v>385</v>
      </c>
      <c r="AH446" s="166" t="s">
        <v>193</v>
      </c>
      <c r="AI446" s="169" t="str">
        <f>CONCATENATE(PAA[[#This Row],[Id Interno]],"-",PAA[[#This Row],[tipo de Contrato (TH talento humano - B/S bienes y/o servicios)]],"-",S446,"-",T446,"-",PAA[[#This Row],[Objeto de la contratación]])</f>
        <v>20260418-TH-8126-9--Prestar servicios profesionales para desarrollar e implementar sistemas de información, brindar soporte, mantenimiento y generar interoperabilidad con la Subdirección de Gestión Corporativa -SGC</v>
      </c>
    </row>
    <row r="447" spans="2:35" ht="56" x14ac:dyDescent="0.35">
      <c r="B447" s="23">
        <v>20260419</v>
      </c>
      <c r="C447" s="97" t="s">
        <v>649</v>
      </c>
      <c r="D447" s="23" t="s">
        <v>105</v>
      </c>
      <c r="E447" s="23" t="s">
        <v>363</v>
      </c>
      <c r="F447" s="163" t="s">
        <v>144</v>
      </c>
      <c r="G447" s="164" t="s">
        <v>373</v>
      </c>
      <c r="H447" s="165">
        <v>11</v>
      </c>
      <c r="I447" s="165">
        <v>0</v>
      </c>
      <c r="J447" s="122">
        <v>74976512</v>
      </c>
      <c r="K447" s="88" t="s">
        <v>398</v>
      </c>
      <c r="L447" s="163" t="s">
        <v>155</v>
      </c>
      <c r="M447" s="166" t="s">
        <v>422</v>
      </c>
      <c r="N447" s="23" t="s">
        <v>197</v>
      </c>
      <c r="O447" s="144" t="s">
        <v>886</v>
      </c>
      <c r="P447" s="163" t="s">
        <v>348</v>
      </c>
      <c r="Q447" s="53" t="s">
        <v>725</v>
      </c>
      <c r="R447" s="166" t="s">
        <v>208</v>
      </c>
      <c r="S447" s="166" t="str">
        <f>MID(PAA[[#This Row],[Meta Proyecto de Inversión]],1,4)</f>
        <v>8126</v>
      </c>
      <c r="T447" s="166" t="str">
        <f>MID(PAA[[#This Row],[Meta Proyecto de Inversión]],6,2)</f>
        <v>9-</v>
      </c>
      <c r="U447" s="167" t="str">
        <f>IFERROR(VLOOKUP(N447,TD!$B$54:$F$58,2,0)," ")</f>
        <v>O230117</v>
      </c>
      <c r="V447" s="167" t="str">
        <f>IFERROR(VLOOKUP(N447,TD!$B$54:$F$58,3,0)," ")</f>
        <v>4599</v>
      </c>
      <c r="W447" s="167">
        <f>IFERROR(VLOOKUP(N447,TD!$B$54:$F$58,4,0)," ")</f>
        <v>20240207</v>
      </c>
      <c r="X447" s="166" t="s">
        <v>174</v>
      </c>
      <c r="Y447" s="167" t="str">
        <f>IFERROR(VLOOKUP(X447,TD!$J$55:$K$68,2,0)," ")</f>
        <v>Infraestructura física, mantenimiento y dotación (Sedes construidas, mantenidas reforzadas)</v>
      </c>
      <c r="Z447" s="168" t="str">
        <f>CONCATENATE(X447,"-",Y447)</f>
        <v>08-Infraestructura física, mantenimiento y dotación (Sedes construidas, mantenidas reforzadas)</v>
      </c>
      <c r="AA447" s="166" t="s">
        <v>227</v>
      </c>
      <c r="AB447" s="167" t="str">
        <f>IFERROR(VLOOKUP(AA447,TD!$N$55:$O$70,2,0)," ")</f>
        <v>Sedes mantenidas</v>
      </c>
      <c r="AC447" s="168" t="str">
        <f>CONCATENATE(AA447,"_",AB447)</f>
        <v>016_Sedes mantenidas</v>
      </c>
      <c r="AD447" s="168" t="str">
        <f>CONCATENATE(Z447," ",AC447)</f>
        <v>08-Infraestructura física, mantenimiento y dotación (Sedes construidas, mantenidas reforzadas) 016_Sedes mantenidas</v>
      </c>
      <c r="AE447" s="167" t="str">
        <f>CONCATENATE(U447,V447,W447,X447,AA447)</f>
        <v>O23011745992024020708016</v>
      </c>
      <c r="AF447" s="167" t="str">
        <f>IFERROR(VLOOKUP(AD447,TD!$J$70:$K$93,2,0)," ")</f>
        <v>PM/0131/0108/45990160207</v>
      </c>
      <c r="AG447" s="114" t="s">
        <v>385</v>
      </c>
      <c r="AH447" s="166" t="s">
        <v>193</v>
      </c>
      <c r="AI447" s="169" t="str">
        <f>CONCATENATE(PAA[[#This Row],[Id Interno]],"-",PAA[[#This Row],[tipo de Contrato (TH talento humano - B/S bienes y/o servicios)]],"-",S447,"-",T447,"-",PAA[[#This Row],[Objeto de la contratación]])</f>
        <v>20260419-TH-8126-9--Prestación de servicios profesionales para la ejecución de los procesos contables que se desarrollan en el Área Financiera de la UAE Cuerpo Oficial de Bomberos asignados. -SGC</v>
      </c>
    </row>
    <row r="448" spans="2:35" ht="42" x14ac:dyDescent="0.35">
      <c r="B448" s="23">
        <v>20260420</v>
      </c>
      <c r="C448" s="97" t="s">
        <v>650</v>
      </c>
      <c r="D448" s="23" t="s">
        <v>105</v>
      </c>
      <c r="E448" s="23" t="s">
        <v>363</v>
      </c>
      <c r="F448" s="163" t="s">
        <v>145</v>
      </c>
      <c r="G448" s="164" t="s">
        <v>373</v>
      </c>
      <c r="H448" s="165">
        <v>11</v>
      </c>
      <c r="I448" s="165">
        <v>0</v>
      </c>
      <c r="J448" s="122">
        <v>30872691</v>
      </c>
      <c r="K448" s="88" t="s">
        <v>398</v>
      </c>
      <c r="L448" s="163" t="s">
        <v>155</v>
      </c>
      <c r="M448" s="166" t="s">
        <v>422</v>
      </c>
      <c r="N448" s="23" t="s">
        <v>197</v>
      </c>
      <c r="O448" s="144" t="s">
        <v>886</v>
      </c>
      <c r="P448" s="163" t="s">
        <v>348</v>
      </c>
      <c r="Q448" s="53" t="s">
        <v>725</v>
      </c>
      <c r="R448" s="166" t="s">
        <v>208</v>
      </c>
      <c r="S448" s="166" t="str">
        <f>MID(PAA[[#This Row],[Meta Proyecto de Inversión]],1,4)</f>
        <v>8126</v>
      </c>
      <c r="T448" s="166" t="str">
        <f>MID(PAA[[#This Row],[Meta Proyecto de Inversión]],6,2)</f>
        <v>9-</v>
      </c>
      <c r="U448" s="167" t="str">
        <f>IFERROR(VLOOKUP(N448,TD!$B$54:$F$58,2,0)," ")</f>
        <v>O230117</v>
      </c>
      <c r="V448" s="167" t="str">
        <f>IFERROR(VLOOKUP(N448,TD!$B$54:$F$58,3,0)," ")</f>
        <v>4599</v>
      </c>
      <c r="W448" s="167">
        <f>IFERROR(VLOOKUP(N448,TD!$B$54:$F$58,4,0)," ")</f>
        <v>20240207</v>
      </c>
      <c r="X448" s="166" t="s">
        <v>174</v>
      </c>
      <c r="Y448" s="167" t="str">
        <f>IFERROR(VLOOKUP(X448,TD!$J$55:$K$68,2,0)," ")</f>
        <v>Infraestructura física, mantenimiento y dotación (Sedes construidas, mantenidas reforzadas)</v>
      </c>
      <c r="Z448" s="168" t="str">
        <f>CONCATENATE(X448,"-",Y448)</f>
        <v>08-Infraestructura física, mantenimiento y dotación (Sedes construidas, mantenidas reforzadas)</v>
      </c>
      <c r="AA448" s="166" t="s">
        <v>227</v>
      </c>
      <c r="AB448" s="167" t="str">
        <f>IFERROR(VLOOKUP(AA448,TD!$N$55:$O$70,2,0)," ")</f>
        <v>Sedes mantenidas</v>
      </c>
      <c r="AC448" s="168" t="str">
        <f>CONCATENATE(AA448,"_",AB448)</f>
        <v>016_Sedes mantenidas</v>
      </c>
      <c r="AD448" s="168" t="str">
        <f>CONCATENATE(Z448," ",AC448)</f>
        <v>08-Infraestructura física, mantenimiento y dotación (Sedes construidas, mantenidas reforzadas) 016_Sedes mantenidas</v>
      </c>
      <c r="AE448" s="167" t="str">
        <f>CONCATENATE(U448,V448,W448,X448,AA448)</f>
        <v>O23011745992024020708016</v>
      </c>
      <c r="AF448" s="167" t="str">
        <f>IFERROR(VLOOKUP(AD448,TD!$J$70:$K$93,2,0)," ")</f>
        <v>PM/0131/0108/45990160207</v>
      </c>
      <c r="AG448" s="114" t="s">
        <v>385</v>
      </c>
      <c r="AH448" s="166" t="s">
        <v>193</v>
      </c>
      <c r="AI448" s="169" t="str">
        <f>CONCATENATE(PAA[[#This Row],[Id Interno]],"-",PAA[[#This Row],[tipo de Contrato (TH talento humano - B/S bienes y/o servicios)]],"-",S448,"-",T448,"-",PAA[[#This Row],[Objeto de la contratación]])</f>
        <v>20260420-TH-8126-9--Prestación de servicios de apoyo a la gestión documental de la Subdirección de Gestión Corporativa de la Unidad.-SGC.</v>
      </c>
    </row>
    <row r="449" spans="2:35" ht="42" x14ac:dyDescent="0.35">
      <c r="B449" s="23">
        <v>20260422</v>
      </c>
      <c r="C449" s="97" t="s">
        <v>651</v>
      </c>
      <c r="D449" s="23" t="s">
        <v>105</v>
      </c>
      <c r="E449" s="23" t="s">
        <v>363</v>
      </c>
      <c r="F449" s="163" t="s">
        <v>145</v>
      </c>
      <c r="G449" s="164" t="s">
        <v>373</v>
      </c>
      <c r="H449" s="165">
        <v>11</v>
      </c>
      <c r="I449" s="165">
        <v>0</v>
      </c>
      <c r="J449" s="122">
        <v>40428518</v>
      </c>
      <c r="K449" s="88" t="s">
        <v>398</v>
      </c>
      <c r="L449" s="163" t="s">
        <v>155</v>
      </c>
      <c r="M449" s="166" t="s">
        <v>422</v>
      </c>
      <c r="N449" s="23" t="s">
        <v>197</v>
      </c>
      <c r="O449" s="144" t="s">
        <v>886</v>
      </c>
      <c r="P449" s="163" t="s">
        <v>348</v>
      </c>
      <c r="Q449" s="53" t="s">
        <v>725</v>
      </c>
      <c r="R449" s="166" t="s">
        <v>208</v>
      </c>
      <c r="S449" s="166" t="str">
        <f>MID(PAA[[#This Row],[Meta Proyecto de Inversión]],1,4)</f>
        <v>8126</v>
      </c>
      <c r="T449" s="166" t="str">
        <f>MID(PAA[[#This Row],[Meta Proyecto de Inversión]],6,2)</f>
        <v>9-</v>
      </c>
      <c r="U449" s="167" t="str">
        <f>IFERROR(VLOOKUP(N449,TD!$B$54:$F$58,2,0)," ")</f>
        <v>O230117</v>
      </c>
      <c r="V449" s="167" t="str">
        <f>IFERROR(VLOOKUP(N449,TD!$B$54:$F$58,3,0)," ")</f>
        <v>4599</v>
      </c>
      <c r="W449" s="167">
        <f>IFERROR(VLOOKUP(N449,TD!$B$54:$F$58,4,0)," ")</f>
        <v>20240207</v>
      </c>
      <c r="X449" s="166" t="s">
        <v>174</v>
      </c>
      <c r="Y449" s="167" t="str">
        <f>IFERROR(VLOOKUP(X449,TD!$J$55:$K$68,2,0)," ")</f>
        <v>Infraestructura física, mantenimiento y dotación (Sedes construidas, mantenidas reforzadas)</v>
      </c>
      <c r="Z449" s="168" t="str">
        <f>CONCATENATE(X449,"-",Y449)</f>
        <v>08-Infraestructura física, mantenimiento y dotación (Sedes construidas, mantenidas reforzadas)</v>
      </c>
      <c r="AA449" s="166" t="s">
        <v>227</v>
      </c>
      <c r="AB449" s="167" t="str">
        <f>IFERROR(VLOOKUP(AA449,TD!$N$55:$O$70,2,0)," ")</f>
        <v>Sedes mantenidas</v>
      </c>
      <c r="AC449" s="168" t="str">
        <f>CONCATENATE(AA449,"_",AB449)</f>
        <v>016_Sedes mantenidas</v>
      </c>
      <c r="AD449" s="168" t="str">
        <f>CONCATENATE(Z449," ",AC449)</f>
        <v>08-Infraestructura física, mantenimiento y dotación (Sedes construidas, mantenidas reforzadas) 016_Sedes mantenidas</v>
      </c>
      <c r="AE449" s="167" t="str">
        <f>CONCATENATE(U449,V449,W449,X449,AA449)</f>
        <v>O23011745992024020708016</v>
      </c>
      <c r="AF449" s="167" t="str">
        <f>IFERROR(VLOOKUP(AD449,TD!$J$70:$K$93,2,0)," ")</f>
        <v>PM/0131/0108/45990160207</v>
      </c>
      <c r="AG449" s="114" t="s">
        <v>385</v>
      </c>
      <c r="AH449" s="166" t="s">
        <v>193</v>
      </c>
      <c r="AI449" s="169" t="str">
        <f>CONCATENATE(PAA[[#This Row],[Id Interno]],"-",PAA[[#This Row],[tipo de Contrato (TH talento humano - B/S bienes y/o servicios)]],"-",S449,"-",T449,"-",PAA[[#This Row],[Objeto de la contratación]])</f>
        <v>20260422-TH-8126-9--Prestación de servicios de apoyo a la gestión documental de la Subdirección de Gestión Corporativa de la Unidad.-SGC</v>
      </c>
    </row>
    <row r="450" spans="2:35" ht="42" x14ac:dyDescent="0.35">
      <c r="B450" s="23">
        <v>20260423</v>
      </c>
      <c r="C450" s="97" t="s">
        <v>651</v>
      </c>
      <c r="D450" s="23" t="s">
        <v>105</v>
      </c>
      <c r="E450" s="23" t="s">
        <v>363</v>
      </c>
      <c r="F450" s="163" t="s">
        <v>145</v>
      </c>
      <c r="G450" s="164" t="s">
        <v>373</v>
      </c>
      <c r="H450" s="165">
        <v>11</v>
      </c>
      <c r="I450" s="165">
        <v>0</v>
      </c>
      <c r="J450" s="122">
        <v>30872691</v>
      </c>
      <c r="K450" s="88" t="s">
        <v>398</v>
      </c>
      <c r="L450" s="163" t="s">
        <v>155</v>
      </c>
      <c r="M450" s="166" t="s">
        <v>422</v>
      </c>
      <c r="N450" s="23" t="s">
        <v>197</v>
      </c>
      <c r="O450" s="144" t="s">
        <v>886</v>
      </c>
      <c r="P450" s="163" t="s">
        <v>348</v>
      </c>
      <c r="Q450" s="53" t="s">
        <v>725</v>
      </c>
      <c r="R450" s="166" t="s">
        <v>208</v>
      </c>
      <c r="S450" s="166" t="str">
        <f>MID(PAA[[#This Row],[Meta Proyecto de Inversión]],1,4)</f>
        <v>8126</v>
      </c>
      <c r="T450" s="166" t="str">
        <f>MID(PAA[[#This Row],[Meta Proyecto de Inversión]],6,2)</f>
        <v>9-</v>
      </c>
      <c r="U450" s="167" t="str">
        <f>IFERROR(VLOOKUP(N450,TD!$B$54:$F$58,2,0)," ")</f>
        <v>O230117</v>
      </c>
      <c r="V450" s="167" t="str">
        <f>IFERROR(VLOOKUP(N450,TD!$B$54:$F$58,3,0)," ")</f>
        <v>4599</v>
      </c>
      <c r="W450" s="167">
        <f>IFERROR(VLOOKUP(N450,TD!$B$54:$F$58,4,0)," ")</f>
        <v>20240207</v>
      </c>
      <c r="X450" s="166" t="s">
        <v>174</v>
      </c>
      <c r="Y450" s="167" t="str">
        <f>IFERROR(VLOOKUP(X450,TD!$J$55:$K$68,2,0)," ")</f>
        <v>Infraestructura física, mantenimiento y dotación (Sedes construidas, mantenidas reforzadas)</v>
      </c>
      <c r="Z450" s="168" t="str">
        <f>CONCATENATE(X450,"-",Y450)</f>
        <v>08-Infraestructura física, mantenimiento y dotación (Sedes construidas, mantenidas reforzadas)</v>
      </c>
      <c r="AA450" s="166" t="s">
        <v>227</v>
      </c>
      <c r="AB450" s="167" t="str">
        <f>IFERROR(VLOOKUP(AA450,TD!$N$55:$O$70,2,0)," ")</f>
        <v>Sedes mantenidas</v>
      </c>
      <c r="AC450" s="168" t="str">
        <f>CONCATENATE(AA450,"_",AB450)</f>
        <v>016_Sedes mantenidas</v>
      </c>
      <c r="AD450" s="168" t="str">
        <f>CONCATENATE(Z450," ",AC450)</f>
        <v>08-Infraestructura física, mantenimiento y dotación (Sedes construidas, mantenidas reforzadas) 016_Sedes mantenidas</v>
      </c>
      <c r="AE450" s="167" t="str">
        <f>CONCATENATE(U450,V450,W450,X450,AA450)</f>
        <v>O23011745992024020708016</v>
      </c>
      <c r="AF450" s="167" t="str">
        <f>IFERROR(VLOOKUP(AD450,TD!$J$70:$K$93,2,0)," ")</f>
        <v>PM/0131/0108/45990160207</v>
      </c>
      <c r="AG450" s="114" t="s">
        <v>385</v>
      </c>
      <c r="AH450" s="166" t="s">
        <v>193</v>
      </c>
      <c r="AI450" s="169" t="str">
        <f>CONCATENATE(PAA[[#This Row],[Id Interno]],"-",PAA[[#This Row],[tipo de Contrato (TH talento humano - B/S bienes y/o servicios)]],"-",S450,"-",T450,"-",PAA[[#This Row],[Objeto de la contratación]])</f>
        <v>20260423-TH-8126-9--Prestación de servicios de apoyo a la gestión documental de la Subdirección de Gestión Corporativa de la Unidad.-SGC</v>
      </c>
    </row>
    <row r="451" spans="2:35" ht="42" x14ac:dyDescent="0.35">
      <c r="B451" s="23">
        <v>20260424</v>
      </c>
      <c r="C451" s="97" t="s">
        <v>651</v>
      </c>
      <c r="D451" s="23" t="s">
        <v>105</v>
      </c>
      <c r="E451" s="23" t="s">
        <v>363</v>
      </c>
      <c r="F451" s="163" t="s">
        <v>145</v>
      </c>
      <c r="G451" s="164" t="s">
        <v>373</v>
      </c>
      <c r="H451" s="165">
        <v>11</v>
      </c>
      <c r="I451" s="165">
        <v>0</v>
      </c>
      <c r="J451" s="122">
        <v>34100000</v>
      </c>
      <c r="K451" s="88" t="s">
        <v>398</v>
      </c>
      <c r="L451" s="163" t="s">
        <v>155</v>
      </c>
      <c r="M451" s="166" t="s">
        <v>422</v>
      </c>
      <c r="N451" s="23" t="s">
        <v>197</v>
      </c>
      <c r="O451" s="144" t="s">
        <v>886</v>
      </c>
      <c r="P451" s="163" t="s">
        <v>348</v>
      </c>
      <c r="Q451" s="53" t="s">
        <v>725</v>
      </c>
      <c r="R451" s="166" t="s">
        <v>208</v>
      </c>
      <c r="S451" s="166" t="str">
        <f>MID(PAA[[#This Row],[Meta Proyecto de Inversión]],1,4)</f>
        <v>8126</v>
      </c>
      <c r="T451" s="166" t="str">
        <f>MID(PAA[[#This Row],[Meta Proyecto de Inversión]],6,2)</f>
        <v>9-</v>
      </c>
      <c r="U451" s="167" t="str">
        <f>IFERROR(VLOOKUP(N451,TD!$B$54:$F$58,2,0)," ")</f>
        <v>O230117</v>
      </c>
      <c r="V451" s="167" t="str">
        <f>IFERROR(VLOOKUP(N451,TD!$B$54:$F$58,3,0)," ")</f>
        <v>4599</v>
      </c>
      <c r="W451" s="167">
        <f>IFERROR(VLOOKUP(N451,TD!$B$54:$F$58,4,0)," ")</f>
        <v>20240207</v>
      </c>
      <c r="X451" s="166" t="s">
        <v>174</v>
      </c>
      <c r="Y451" s="167" t="str">
        <f>IFERROR(VLOOKUP(X451,TD!$J$55:$K$68,2,0)," ")</f>
        <v>Infraestructura física, mantenimiento y dotación (Sedes construidas, mantenidas reforzadas)</v>
      </c>
      <c r="Z451" s="168" t="str">
        <f>CONCATENATE(X451,"-",Y451)</f>
        <v>08-Infraestructura física, mantenimiento y dotación (Sedes construidas, mantenidas reforzadas)</v>
      </c>
      <c r="AA451" s="166" t="s">
        <v>227</v>
      </c>
      <c r="AB451" s="167" t="str">
        <f>IFERROR(VLOOKUP(AA451,TD!$N$55:$O$70,2,0)," ")</f>
        <v>Sedes mantenidas</v>
      </c>
      <c r="AC451" s="168" t="str">
        <f>CONCATENATE(AA451,"_",AB451)</f>
        <v>016_Sedes mantenidas</v>
      </c>
      <c r="AD451" s="168" t="str">
        <f>CONCATENATE(Z451," ",AC451)</f>
        <v>08-Infraestructura física, mantenimiento y dotación (Sedes construidas, mantenidas reforzadas) 016_Sedes mantenidas</v>
      </c>
      <c r="AE451" s="167" t="str">
        <f>CONCATENATE(U451,V451,W451,X451,AA451)</f>
        <v>O23011745992024020708016</v>
      </c>
      <c r="AF451" s="167" t="str">
        <f>IFERROR(VLOOKUP(AD451,TD!$J$70:$K$93,2,0)," ")</f>
        <v>PM/0131/0108/45990160207</v>
      </c>
      <c r="AG451" s="114" t="s">
        <v>385</v>
      </c>
      <c r="AH451" s="166" t="s">
        <v>193</v>
      </c>
      <c r="AI451" s="169" t="str">
        <f>CONCATENATE(PAA[[#This Row],[Id Interno]],"-",PAA[[#This Row],[tipo de Contrato (TH talento humano - B/S bienes y/o servicios)]],"-",S451,"-",T451,"-",PAA[[#This Row],[Objeto de la contratación]])</f>
        <v>20260424-TH-8126-9--Prestación de servicios de apoyo a la gestión documental de la Subdirección de Gestión Corporativa de la Unidad.-SGC</v>
      </c>
    </row>
    <row r="452" spans="2:35" ht="42" x14ac:dyDescent="0.35">
      <c r="B452" s="23">
        <v>20260425</v>
      </c>
      <c r="C452" s="97" t="s">
        <v>652</v>
      </c>
      <c r="D452" s="23" t="s">
        <v>105</v>
      </c>
      <c r="E452" s="23" t="s">
        <v>363</v>
      </c>
      <c r="F452" s="163" t="s">
        <v>144</v>
      </c>
      <c r="G452" s="164" t="s">
        <v>373</v>
      </c>
      <c r="H452" s="165">
        <v>11</v>
      </c>
      <c r="I452" s="165">
        <v>0</v>
      </c>
      <c r="J452" s="122">
        <v>56771957</v>
      </c>
      <c r="K452" s="88" t="s">
        <v>398</v>
      </c>
      <c r="L452" s="163" t="s">
        <v>155</v>
      </c>
      <c r="M452" s="166" t="s">
        <v>422</v>
      </c>
      <c r="N452" s="23" t="s">
        <v>197</v>
      </c>
      <c r="O452" s="144" t="s">
        <v>886</v>
      </c>
      <c r="P452" s="163" t="s">
        <v>348</v>
      </c>
      <c r="Q452" s="53" t="s">
        <v>725</v>
      </c>
      <c r="R452" s="166" t="s">
        <v>208</v>
      </c>
      <c r="S452" s="166" t="str">
        <f>MID(PAA[[#This Row],[Meta Proyecto de Inversión]],1,4)</f>
        <v>8126</v>
      </c>
      <c r="T452" s="166" t="str">
        <f>MID(PAA[[#This Row],[Meta Proyecto de Inversión]],6,2)</f>
        <v>9-</v>
      </c>
      <c r="U452" s="167" t="str">
        <f>IFERROR(VLOOKUP(N452,TD!$B$54:$F$58,2,0)," ")</f>
        <v>O230117</v>
      </c>
      <c r="V452" s="167" t="str">
        <f>IFERROR(VLOOKUP(N452,TD!$B$54:$F$58,3,0)," ")</f>
        <v>4599</v>
      </c>
      <c r="W452" s="167">
        <f>IFERROR(VLOOKUP(N452,TD!$B$54:$F$58,4,0)," ")</f>
        <v>20240207</v>
      </c>
      <c r="X452" s="166" t="s">
        <v>174</v>
      </c>
      <c r="Y452" s="167" t="str">
        <f>IFERROR(VLOOKUP(X452,TD!$J$55:$K$68,2,0)," ")</f>
        <v>Infraestructura física, mantenimiento y dotación (Sedes construidas, mantenidas reforzadas)</v>
      </c>
      <c r="Z452" s="168" t="str">
        <f>CONCATENATE(X452,"-",Y452)</f>
        <v>08-Infraestructura física, mantenimiento y dotación (Sedes construidas, mantenidas reforzadas)</v>
      </c>
      <c r="AA452" s="166" t="s">
        <v>227</v>
      </c>
      <c r="AB452" s="167" t="str">
        <f>IFERROR(VLOOKUP(AA452,TD!$N$55:$O$70,2,0)," ")</f>
        <v>Sedes mantenidas</v>
      </c>
      <c r="AC452" s="168" t="str">
        <f>CONCATENATE(AA452,"_",AB452)</f>
        <v>016_Sedes mantenidas</v>
      </c>
      <c r="AD452" s="168" t="str">
        <f>CONCATENATE(Z452," ",AC452)</f>
        <v>08-Infraestructura física, mantenimiento y dotación (Sedes construidas, mantenidas reforzadas) 016_Sedes mantenidas</v>
      </c>
      <c r="AE452" s="167" t="str">
        <f>CONCATENATE(U452,V452,W452,X452,AA452)</f>
        <v>O23011745992024020708016</v>
      </c>
      <c r="AF452" s="167" t="str">
        <f>IFERROR(VLOOKUP(AD452,TD!$J$70:$K$93,2,0)," ")</f>
        <v>PM/0131/0108/45990160207</v>
      </c>
      <c r="AG452" s="114" t="s">
        <v>385</v>
      </c>
      <c r="AH452" s="166" t="s">
        <v>193</v>
      </c>
      <c r="AI452" s="169" t="str">
        <f>CONCATENATE(PAA[[#This Row],[Id Interno]],"-",PAA[[#This Row],[tipo de Contrato (TH talento humano - B/S bienes y/o servicios)]],"-",S452,"-",T452,"-",PAA[[#This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53" spans="2:35" ht="70" x14ac:dyDescent="0.35">
      <c r="B453" s="23">
        <v>20260426</v>
      </c>
      <c r="C453" s="97" t="s">
        <v>652</v>
      </c>
      <c r="D453" s="23" t="s">
        <v>105</v>
      </c>
      <c r="E453" s="23" t="s">
        <v>363</v>
      </c>
      <c r="F453" s="163" t="s">
        <v>144</v>
      </c>
      <c r="G453" s="164" t="s">
        <v>373</v>
      </c>
      <c r="H453" s="165">
        <v>11</v>
      </c>
      <c r="I453" s="165">
        <v>0</v>
      </c>
      <c r="J453" s="122">
        <v>30966522</v>
      </c>
      <c r="K453" s="88" t="s">
        <v>398</v>
      </c>
      <c r="L453" s="163" t="s">
        <v>155</v>
      </c>
      <c r="M453" s="166" t="s">
        <v>422</v>
      </c>
      <c r="N453" s="23" t="s">
        <v>197</v>
      </c>
      <c r="O453" s="144" t="s">
        <v>886</v>
      </c>
      <c r="P453" s="163" t="s">
        <v>348</v>
      </c>
      <c r="Q453" s="53" t="s">
        <v>725</v>
      </c>
      <c r="R453" s="166" t="s">
        <v>208</v>
      </c>
      <c r="S453" s="166" t="str">
        <f>MID(PAA[[#This Row],[Meta Proyecto de Inversión]],1,4)</f>
        <v>8126</v>
      </c>
      <c r="T453" s="166" t="str">
        <f>MID(PAA[[#This Row],[Meta Proyecto de Inversión]],6,2)</f>
        <v>9-</v>
      </c>
      <c r="U453" s="167" t="str">
        <f>IFERROR(VLOOKUP(N453,TD!$B$54:$F$58,2,0)," ")</f>
        <v>O230117</v>
      </c>
      <c r="V453" s="167" t="str">
        <f>IFERROR(VLOOKUP(N453,TD!$B$54:$F$58,3,0)," ")</f>
        <v>4599</v>
      </c>
      <c r="W453" s="167">
        <f>IFERROR(VLOOKUP(N453,TD!$B$54:$F$58,4,0)," ")</f>
        <v>20240207</v>
      </c>
      <c r="X453" s="166" t="s">
        <v>174</v>
      </c>
      <c r="Y453" s="167" t="str">
        <f>IFERROR(VLOOKUP(X453,TD!$J$55:$K$68,2,0)," ")</f>
        <v>Infraestructura física, mantenimiento y dotación (Sedes construidas, mantenidas reforzadas)</v>
      </c>
      <c r="Z453" s="168" t="str">
        <f>CONCATENATE(X453,"-",Y453)</f>
        <v>08-Infraestructura física, mantenimiento y dotación (Sedes construidas, mantenidas reforzadas)</v>
      </c>
      <c r="AA453" s="166" t="s">
        <v>227</v>
      </c>
      <c r="AB453" s="167" t="str">
        <f>IFERROR(VLOOKUP(AA453,TD!$N$55:$O$70,2,0)," ")</f>
        <v>Sedes mantenidas</v>
      </c>
      <c r="AC453" s="168" t="str">
        <f>CONCATENATE(AA453,"_",AB453)</f>
        <v>016_Sedes mantenidas</v>
      </c>
      <c r="AD453" s="168" t="str">
        <f>CONCATENATE(Z453," ",AC453)</f>
        <v>08-Infraestructura física, mantenimiento y dotación (Sedes construidas, mantenidas reforzadas) 016_Sedes mantenidas</v>
      </c>
      <c r="AE453" s="167" t="str">
        <f>CONCATENATE(U453,V453,W453,X453,AA453)</f>
        <v>O23011745992024020708016</v>
      </c>
      <c r="AF453" s="167" t="str">
        <f>IFERROR(VLOOKUP(AD453,TD!$J$70:$K$93,2,0)," ")</f>
        <v>PM/0131/0108/45990160207</v>
      </c>
      <c r="AG453" s="114" t="s">
        <v>385</v>
      </c>
      <c r="AH453" s="166" t="s">
        <v>193</v>
      </c>
      <c r="AI453" s="169" t="str">
        <f>CONCATENATE(PAA[[#This Row],[Id Interno]],"-",PAA[[#This Row],[tipo de Contrato (TH talento humano - B/S bienes y/o servicios)]],"-",S453,"-",T453,"-",PAA[[#This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54" spans="2:35" ht="70" x14ac:dyDescent="0.35">
      <c r="B454" s="23">
        <v>20260427</v>
      </c>
      <c r="C454" s="97" t="s">
        <v>653</v>
      </c>
      <c r="D454" s="23" t="s">
        <v>105</v>
      </c>
      <c r="E454" s="23" t="s">
        <v>363</v>
      </c>
      <c r="F454" s="163" t="s">
        <v>144</v>
      </c>
      <c r="G454" s="164" t="s">
        <v>373</v>
      </c>
      <c r="H454" s="165">
        <v>11</v>
      </c>
      <c r="I454" s="165">
        <v>0</v>
      </c>
      <c r="J454" s="122">
        <v>74976512</v>
      </c>
      <c r="K454" s="88" t="s">
        <v>398</v>
      </c>
      <c r="L454" s="163" t="s">
        <v>155</v>
      </c>
      <c r="M454" s="166" t="s">
        <v>422</v>
      </c>
      <c r="N454" s="23" t="s">
        <v>197</v>
      </c>
      <c r="O454" s="144" t="s">
        <v>886</v>
      </c>
      <c r="P454" s="163" t="s">
        <v>348</v>
      </c>
      <c r="Q454" s="53" t="s">
        <v>725</v>
      </c>
      <c r="R454" s="166" t="s">
        <v>208</v>
      </c>
      <c r="S454" s="166" t="str">
        <f>MID(PAA[[#This Row],[Meta Proyecto de Inversión]],1,4)</f>
        <v>8126</v>
      </c>
      <c r="T454" s="166" t="str">
        <f>MID(PAA[[#This Row],[Meta Proyecto de Inversión]],6,2)</f>
        <v>9-</v>
      </c>
      <c r="U454" s="167" t="str">
        <f>IFERROR(VLOOKUP(N454,TD!$B$54:$F$58,2,0)," ")</f>
        <v>O230117</v>
      </c>
      <c r="V454" s="167" t="str">
        <f>IFERROR(VLOOKUP(N454,TD!$B$54:$F$58,3,0)," ")</f>
        <v>4599</v>
      </c>
      <c r="W454" s="167">
        <f>IFERROR(VLOOKUP(N454,TD!$B$54:$F$58,4,0)," ")</f>
        <v>20240207</v>
      </c>
      <c r="X454" s="166" t="s">
        <v>174</v>
      </c>
      <c r="Y454" s="167" t="str">
        <f>IFERROR(VLOOKUP(X454,TD!$J$55:$K$68,2,0)," ")</f>
        <v>Infraestructura física, mantenimiento y dotación (Sedes construidas, mantenidas reforzadas)</v>
      </c>
      <c r="Z454" s="168" t="str">
        <f>CONCATENATE(X454,"-",Y454)</f>
        <v>08-Infraestructura física, mantenimiento y dotación (Sedes construidas, mantenidas reforzadas)</v>
      </c>
      <c r="AA454" s="166" t="s">
        <v>227</v>
      </c>
      <c r="AB454" s="167" t="str">
        <f>IFERROR(VLOOKUP(AA454,TD!$N$55:$O$70,2,0)," ")</f>
        <v>Sedes mantenidas</v>
      </c>
      <c r="AC454" s="168" t="str">
        <f>CONCATENATE(AA454,"_",AB454)</f>
        <v>016_Sedes mantenidas</v>
      </c>
      <c r="AD454" s="168" t="str">
        <f>CONCATENATE(Z454," ",AC454)</f>
        <v>08-Infraestructura física, mantenimiento y dotación (Sedes construidas, mantenidas reforzadas) 016_Sedes mantenidas</v>
      </c>
      <c r="AE454" s="167" t="str">
        <f>CONCATENATE(U454,V454,W454,X454,AA454)</f>
        <v>O23011745992024020708016</v>
      </c>
      <c r="AF454" s="167" t="str">
        <f>IFERROR(VLOOKUP(AD454,TD!$J$70:$K$93,2,0)," ")</f>
        <v>PM/0131/0108/45990160207</v>
      </c>
      <c r="AG454" s="114" t="s">
        <v>385</v>
      </c>
      <c r="AH454" s="166" t="s">
        <v>193</v>
      </c>
      <c r="AI454" s="169" t="str">
        <f>CONCATENATE(PAA[[#This Row],[Id Interno]],"-",PAA[[#This Row],[tipo de Contrato (TH talento humano - B/S bienes y/o servicios)]],"-",S454,"-",T454,"-",PAA[[#This Row],[Objeto de la contratación]])</f>
        <v>20260427-TH-8126-9--Prestar los servicios profesionales para la gestión administrativa y operativa de la Subdirección de Gestión Corporativa en el proceso de adquisición de bienes y servicios - SGC</v>
      </c>
    </row>
    <row r="455" spans="2:35" ht="42" x14ac:dyDescent="0.35">
      <c r="B455" s="23">
        <v>20260428</v>
      </c>
      <c r="C455" s="164" t="s">
        <v>654</v>
      </c>
      <c r="D455" s="23" t="s">
        <v>105</v>
      </c>
      <c r="E455" s="23" t="s">
        <v>363</v>
      </c>
      <c r="F455" s="163" t="s">
        <v>145</v>
      </c>
      <c r="G455" s="164" t="s">
        <v>373</v>
      </c>
      <c r="H455" s="165">
        <v>11</v>
      </c>
      <c r="I455" s="165">
        <v>0</v>
      </c>
      <c r="J455" s="122">
        <v>38060000</v>
      </c>
      <c r="K455" s="88" t="s">
        <v>398</v>
      </c>
      <c r="L455" s="163" t="s">
        <v>155</v>
      </c>
      <c r="M455" s="166" t="s">
        <v>422</v>
      </c>
      <c r="N455" s="23" t="s">
        <v>197</v>
      </c>
      <c r="O455" s="144" t="s">
        <v>886</v>
      </c>
      <c r="P455" s="163" t="s">
        <v>348</v>
      </c>
      <c r="Q455" s="53" t="s">
        <v>725</v>
      </c>
      <c r="R455" s="166" t="s">
        <v>208</v>
      </c>
      <c r="S455" s="166" t="str">
        <f>MID(PAA[[#This Row],[Meta Proyecto de Inversión]],1,4)</f>
        <v>8126</v>
      </c>
      <c r="T455" s="166" t="str">
        <f>MID(PAA[[#This Row],[Meta Proyecto de Inversión]],6,2)</f>
        <v>9-</v>
      </c>
      <c r="U455" s="167" t="str">
        <f>IFERROR(VLOOKUP(N455,TD!$B$54:$F$58,2,0)," ")</f>
        <v>O230117</v>
      </c>
      <c r="V455" s="167" t="str">
        <f>IFERROR(VLOOKUP(N455,TD!$B$54:$F$58,3,0)," ")</f>
        <v>4599</v>
      </c>
      <c r="W455" s="167">
        <f>IFERROR(VLOOKUP(N455,TD!$B$54:$F$58,4,0)," ")</f>
        <v>20240207</v>
      </c>
      <c r="X455" s="166" t="s">
        <v>174</v>
      </c>
      <c r="Y455" s="167" t="str">
        <f>IFERROR(VLOOKUP(X455,TD!$J$55:$K$68,2,0)," ")</f>
        <v>Infraestructura física, mantenimiento y dotación (Sedes construidas, mantenidas reforzadas)</v>
      </c>
      <c r="Z455" s="168" t="str">
        <f>CONCATENATE(X455,"-",Y455)</f>
        <v>08-Infraestructura física, mantenimiento y dotación (Sedes construidas, mantenidas reforzadas)</v>
      </c>
      <c r="AA455" s="166" t="s">
        <v>227</v>
      </c>
      <c r="AB455" s="167" t="str">
        <f>IFERROR(VLOOKUP(AA455,TD!$N$55:$O$70,2,0)," ")</f>
        <v>Sedes mantenidas</v>
      </c>
      <c r="AC455" s="168" t="str">
        <f>CONCATENATE(AA455,"_",AB455)</f>
        <v>016_Sedes mantenidas</v>
      </c>
      <c r="AD455" s="168" t="str">
        <f>CONCATENATE(Z455," ",AC455)</f>
        <v>08-Infraestructura física, mantenimiento y dotación (Sedes construidas, mantenidas reforzadas) 016_Sedes mantenidas</v>
      </c>
      <c r="AE455" s="167" t="str">
        <f>CONCATENATE(U455,V455,W455,X455,AA455)</f>
        <v>O23011745992024020708016</v>
      </c>
      <c r="AF455" s="167" t="str">
        <f>IFERROR(VLOOKUP(AD455,TD!$J$70:$K$93,2,0)," ")</f>
        <v>PM/0131/0108/45990160207</v>
      </c>
      <c r="AG455" s="114" t="s">
        <v>385</v>
      </c>
      <c r="AH455" s="166" t="s">
        <v>193</v>
      </c>
      <c r="AI455" s="169" t="str">
        <f>CONCATENATE(PAA[[#This Row],[Id Interno]],"-",PAA[[#This Row],[tipo de Contrato (TH talento humano - B/S bienes y/o servicios)]],"-",S455,"-",T455,"-",PAA[[#This Row],[Objeto de la contratación]])</f>
        <v>20260428-TH-8126-9--Prestar los servicios como conductor de la Subdirección de Gestión Corporativa -SGC</v>
      </c>
    </row>
    <row r="456" spans="2:35" ht="42" x14ac:dyDescent="0.35">
      <c r="B456" s="23">
        <v>20260429</v>
      </c>
      <c r="C456" s="164" t="s">
        <v>655</v>
      </c>
      <c r="D456" s="23" t="s">
        <v>105</v>
      </c>
      <c r="E456" s="23" t="s">
        <v>363</v>
      </c>
      <c r="F456" s="163" t="s">
        <v>144</v>
      </c>
      <c r="G456" s="164" t="s">
        <v>373</v>
      </c>
      <c r="H456" s="165">
        <v>11</v>
      </c>
      <c r="I456" s="165">
        <v>0</v>
      </c>
      <c r="J456" s="122">
        <v>74976512</v>
      </c>
      <c r="K456" s="88" t="s">
        <v>398</v>
      </c>
      <c r="L456" s="163" t="s">
        <v>155</v>
      </c>
      <c r="M456" s="166" t="s">
        <v>422</v>
      </c>
      <c r="N456" s="23" t="s">
        <v>197</v>
      </c>
      <c r="O456" s="144" t="s">
        <v>886</v>
      </c>
      <c r="P456" s="163" t="s">
        <v>348</v>
      </c>
      <c r="Q456" s="53" t="s">
        <v>725</v>
      </c>
      <c r="R456" s="166" t="s">
        <v>208</v>
      </c>
      <c r="S456" s="166" t="str">
        <f>MID(PAA[[#This Row],[Meta Proyecto de Inversión]],1,4)</f>
        <v>8126</v>
      </c>
      <c r="T456" s="166" t="str">
        <f>MID(PAA[[#This Row],[Meta Proyecto de Inversión]],6,2)</f>
        <v>9-</v>
      </c>
      <c r="U456" s="167" t="str">
        <f>IFERROR(VLOOKUP(N456,TD!$B$54:$F$58,2,0)," ")</f>
        <v>O230117</v>
      </c>
      <c r="V456" s="167" t="str">
        <f>IFERROR(VLOOKUP(N456,TD!$B$54:$F$58,3,0)," ")</f>
        <v>4599</v>
      </c>
      <c r="W456" s="167">
        <f>IFERROR(VLOOKUP(N456,TD!$B$54:$F$58,4,0)," ")</f>
        <v>20240207</v>
      </c>
      <c r="X456" s="166" t="s">
        <v>174</v>
      </c>
      <c r="Y456" s="167" t="str">
        <f>IFERROR(VLOOKUP(X456,TD!$J$55:$K$68,2,0)," ")</f>
        <v>Infraestructura física, mantenimiento y dotación (Sedes construidas, mantenidas reforzadas)</v>
      </c>
      <c r="Z456" s="168" t="str">
        <f>CONCATENATE(X456,"-",Y456)</f>
        <v>08-Infraestructura física, mantenimiento y dotación (Sedes construidas, mantenidas reforzadas)</v>
      </c>
      <c r="AA456" s="166" t="s">
        <v>227</v>
      </c>
      <c r="AB456" s="167" t="str">
        <f>IFERROR(VLOOKUP(AA456,TD!$N$55:$O$70,2,0)," ")</f>
        <v>Sedes mantenidas</v>
      </c>
      <c r="AC456" s="168" t="str">
        <f>CONCATENATE(AA456,"_",AB456)</f>
        <v>016_Sedes mantenidas</v>
      </c>
      <c r="AD456" s="168" t="str">
        <f>CONCATENATE(Z456," ",AC456)</f>
        <v>08-Infraestructura física, mantenimiento y dotación (Sedes construidas, mantenidas reforzadas) 016_Sedes mantenidas</v>
      </c>
      <c r="AE456" s="167" t="str">
        <f>CONCATENATE(U456,V456,W456,X456,AA456)</f>
        <v>O23011745992024020708016</v>
      </c>
      <c r="AF456" s="167" t="str">
        <f>IFERROR(VLOOKUP(AD456,TD!$J$70:$K$93,2,0)," ")</f>
        <v>PM/0131/0108/45990160207</v>
      </c>
      <c r="AG456" s="114" t="s">
        <v>385</v>
      </c>
      <c r="AH456" s="166" t="s">
        <v>193</v>
      </c>
      <c r="AI456" s="169" t="str">
        <f>CONCATENATE(PAA[[#This Row],[Id Interno]],"-",PAA[[#This Row],[tipo de Contrato (TH talento humano - B/S bienes y/o servicios)]],"-",S456,"-",T456,"-",PAA[[#This Row],[Objeto de la contratación]])</f>
        <v>20260429-TH-8126-9--Prestar servicios profesionales en la Subdirección de Gestión Corporativa en el marco de las actividades administrativas de la Dependencia.-SGC</v>
      </c>
    </row>
    <row r="457" spans="2:35" ht="42" x14ac:dyDescent="0.35">
      <c r="B457" s="23">
        <v>20260430</v>
      </c>
      <c r="C457" s="164" t="s">
        <v>635</v>
      </c>
      <c r="D457" s="23" t="s">
        <v>105</v>
      </c>
      <c r="E457" s="23" t="s">
        <v>363</v>
      </c>
      <c r="F457" s="163" t="s">
        <v>144</v>
      </c>
      <c r="G457" s="164" t="s">
        <v>373</v>
      </c>
      <c r="H457" s="165">
        <v>11</v>
      </c>
      <c r="I457" s="165">
        <v>0</v>
      </c>
      <c r="J457" s="122">
        <v>99000000</v>
      </c>
      <c r="K457" s="88" t="s">
        <v>398</v>
      </c>
      <c r="L457" s="163" t="s">
        <v>155</v>
      </c>
      <c r="M457" s="166" t="s">
        <v>422</v>
      </c>
      <c r="N457" s="23" t="s">
        <v>198</v>
      </c>
      <c r="O457" s="144" t="s">
        <v>887</v>
      </c>
      <c r="P457" s="163" t="s">
        <v>348</v>
      </c>
      <c r="Q457" s="53" t="s">
        <v>725</v>
      </c>
      <c r="R457" s="166" t="s">
        <v>216</v>
      </c>
      <c r="S457" s="166" t="str">
        <f>MID(PAA[[#This Row],[Meta Proyecto de Inversión]],1,4)</f>
        <v>8173</v>
      </c>
      <c r="T457" s="166" t="str">
        <f>MID(PAA[[#This Row],[Meta Proyecto de Inversión]],6,2)</f>
        <v>7-</v>
      </c>
      <c r="U457" s="167" t="str">
        <f>IFERROR(VLOOKUP(N457,TD!$B$54:$F$58,2,0)," ")</f>
        <v>O230117</v>
      </c>
      <c r="V457" s="167" t="str">
        <f>IFERROR(VLOOKUP(N457,TD!$B$54:$F$58,3,0)," ")</f>
        <v>4503</v>
      </c>
      <c r="W457" s="167">
        <f>IFERROR(VLOOKUP(N457,TD!$B$54:$F$58,4,0)," ")</f>
        <v>20240255</v>
      </c>
      <c r="X457" s="166">
        <v>14</v>
      </c>
      <c r="Y457" s="167" t="str">
        <f>IFERROR(VLOOKUP(X457,TD!$J$55:$K$68,2,0)," ")</f>
        <v xml:space="preserve">Infraestructura física misional construida mantenida y dotada </v>
      </c>
      <c r="Z457" s="168" t="str">
        <f>CONCATENATE(X457,"-",Y457)</f>
        <v xml:space="preserve">14-Infraestructura física misional construida mantenida y dotada </v>
      </c>
      <c r="AA457" s="166" t="s">
        <v>225</v>
      </c>
      <c r="AB457" s="167" t="str">
        <f>IFERROR(VLOOKUP(AA457,TD!$N$55:$O$70,2,0)," ")</f>
        <v>Estaciones de bomberos adecuadas</v>
      </c>
      <c r="AC457" s="168" t="str">
        <f>CONCATENATE(AA457,"_",AB457)</f>
        <v>014_Estaciones de bomberos adecuadas</v>
      </c>
      <c r="AD457" s="168" t="str">
        <f>CONCATENATE(Z457," ",AC457)</f>
        <v>14-Infraestructura física misional construida mantenida y dotada  014_Estaciones de bomberos adecuadas</v>
      </c>
      <c r="AE457" s="167" t="str">
        <f>CONCATENATE(U457,V457,W457,X457,AA457)</f>
        <v>O23011745032024025514014</v>
      </c>
      <c r="AF457" s="167" t="str">
        <f>IFERROR(VLOOKUP(AD457,TD!$J$70:$K$93,2,0)," ")</f>
        <v>PM/0131/0114/45030140255</v>
      </c>
      <c r="AG457" s="114" t="s">
        <v>385</v>
      </c>
      <c r="AH457" s="166" t="s">
        <v>193</v>
      </c>
      <c r="AI457" s="169" t="str">
        <f>CONCATENATE(PAA[[#This Row],[Id Interno]],"-",PAA[[#This Row],[tipo de Contrato (TH talento humano - B/S bienes y/o servicios)]],"-",S457,"-",T457,"-",PAA[[#This Row],[Objeto de la contratación]])</f>
        <v>20260430-TH-8173-7--Prestación de servicios profesionales para apoyar las actividades de estructuración de procesos contractuales del Área de Infraestructura de la Subdirección de Gestión Corporativa-SGC</v>
      </c>
    </row>
    <row r="458" spans="2:35" ht="56" x14ac:dyDescent="0.35">
      <c r="B458" s="23">
        <v>20260431</v>
      </c>
      <c r="C458" s="164" t="s">
        <v>645</v>
      </c>
      <c r="D458" s="23" t="s">
        <v>105</v>
      </c>
      <c r="E458" s="23" t="s">
        <v>363</v>
      </c>
      <c r="F458" s="163" t="s">
        <v>144</v>
      </c>
      <c r="G458" s="164" t="s">
        <v>373</v>
      </c>
      <c r="H458" s="165">
        <v>11</v>
      </c>
      <c r="I458" s="165">
        <v>0</v>
      </c>
      <c r="J458" s="122">
        <v>44237886</v>
      </c>
      <c r="K458" s="88" t="s">
        <v>398</v>
      </c>
      <c r="L458" s="163" t="s">
        <v>155</v>
      </c>
      <c r="M458" s="166" t="s">
        <v>422</v>
      </c>
      <c r="N458" s="23" t="s">
        <v>198</v>
      </c>
      <c r="O458" s="144" t="s">
        <v>887</v>
      </c>
      <c r="P458" s="163" t="s">
        <v>348</v>
      </c>
      <c r="Q458" s="53" t="s">
        <v>725</v>
      </c>
      <c r="R458" s="166" t="s">
        <v>216</v>
      </c>
      <c r="S458" s="166" t="str">
        <f>MID(PAA[[#This Row],[Meta Proyecto de Inversión]],1,4)</f>
        <v>8173</v>
      </c>
      <c r="T458" s="166" t="str">
        <f>MID(PAA[[#This Row],[Meta Proyecto de Inversión]],6,2)</f>
        <v>7-</v>
      </c>
      <c r="U458" s="167" t="str">
        <f>IFERROR(VLOOKUP(N458,TD!$B$54:$F$58,2,0)," ")</f>
        <v>O230117</v>
      </c>
      <c r="V458" s="167" t="str">
        <f>IFERROR(VLOOKUP(N458,TD!$B$54:$F$58,3,0)," ")</f>
        <v>4503</v>
      </c>
      <c r="W458" s="167">
        <f>IFERROR(VLOOKUP(N458,TD!$B$54:$F$58,4,0)," ")</f>
        <v>20240255</v>
      </c>
      <c r="X458" s="166">
        <v>14</v>
      </c>
      <c r="Y458" s="167" t="str">
        <f>IFERROR(VLOOKUP(X458,TD!$J$55:$K$68,2,0)," ")</f>
        <v xml:space="preserve">Infraestructura física misional construida mantenida y dotada </v>
      </c>
      <c r="Z458" s="168" t="str">
        <f>CONCATENATE(X458,"-",Y458)</f>
        <v xml:space="preserve">14-Infraestructura física misional construida mantenida y dotada </v>
      </c>
      <c r="AA458" s="166" t="s">
        <v>225</v>
      </c>
      <c r="AB458" s="167" t="str">
        <f>IFERROR(VLOOKUP(AA458,TD!$N$55:$O$70,2,0)," ")</f>
        <v>Estaciones de bomberos adecuadas</v>
      </c>
      <c r="AC458" s="168" t="str">
        <f>CONCATENATE(AA458,"_",AB458)</f>
        <v>014_Estaciones de bomberos adecuadas</v>
      </c>
      <c r="AD458" s="168" t="str">
        <f>CONCATENATE(Z458," ",AC458)</f>
        <v>14-Infraestructura física misional construida mantenida y dotada  014_Estaciones de bomberos adecuadas</v>
      </c>
      <c r="AE458" s="167" t="str">
        <f>CONCATENATE(U458,V458,W458,X458,AA458)</f>
        <v>O23011745032024025514014</v>
      </c>
      <c r="AF458" s="167" t="str">
        <f>IFERROR(VLOOKUP(AD458,TD!$J$70:$K$93,2,0)," ")</f>
        <v>PM/0131/0114/45030140255</v>
      </c>
      <c r="AG458" s="114" t="s">
        <v>385</v>
      </c>
      <c r="AH458" s="166" t="s">
        <v>193</v>
      </c>
      <c r="AI458" s="169" t="str">
        <f>CONCATENATE(PAA[[#This Row],[Id Interno]],"-",PAA[[#This Row],[tipo de Contrato (TH talento humano - B/S bienes y/o servicios)]],"-",S458,"-",T458,"-",PAA[[#This Row],[Objeto de la contratación]])</f>
        <v>20260431-TH-8173-7--Prestar servicios profesionales para realizar acompañamiento juridico en la elaboración de los procesos contractuales adelantados por la Subdirección Gestión Corporativa -SGC</v>
      </c>
    </row>
    <row r="459" spans="2:35" ht="56" x14ac:dyDescent="0.35">
      <c r="B459" s="23">
        <v>20260432</v>
      </c>
      <c r="C459" s="164" t="s">
        <v>656</v>
      </c>
      <c r="D459" s="23" t="s">
        <v>105</v>
      </c>
      <c r="E459" s="23" t="s">
        <v>363</v>
      </c>
      <c r="F459" s="163" t="s">
        <v>144</v>
      </c>
      <c r="G459" s="164" t="s">
        <v>373</v>
      </c>
      <c r="H459" s="131">
        <v>11</v>
      </c>
      <c r="I459" s="165">
        <v>0</v>
      </c>
      <c r="J459" s="114">
        <v>81102791</v>
      </c>
      <c r="K459" s="88" t="s">
        <v>398</v>
      </c>
      <c r="L459" s="163" t="s">
        <v>155</v>
      </c>
      <c r="M459" s="166" t="s">
        <v>422</v>
      </c>
      <c r="N459" s="23" t="s">
        <v>197</v>
      </c>
      <c r="O459" s="144" t="s">
        <v>886</v>
      </c>
      <c r="P459" s="163" t="s">
        <v>348</v>
      </c>
      <c r="Q459" s="53" t="s">
        <v>725</v>
      </c>
      <c r="R459" s="166" t="s">
        <v>207</v>
      </c>
      <c r="S459" s="166" t="str">
        <f>MID(PAA[[#This Row],[Meta Proyecto de Inversión]],1,4)</f>
        <v>8126</v>
      </c>
      <c r="T459" s="166" t="str">
        <f>MID(PAA[[#This Row],[Meta Proyecto de Inversión]],6,2)</f>
        <v>8-</v>
      </c>
      <c r="U459" s="167" t="str">
        <f>IFERROR(VLOOKUP(N459,TD!$B$54:$F$58,2,0)," ")</f>
        <v>O230117</v>
      </c>
      <c r="V459" s="167" t="str">
        <f>IFERROR(VLOOKUP(N459,TD!$B$54:$F$58,3,0)," ")</f>
        <v>4599</v>
      </c>
      <c r="W459" s="167">
        <f>IFERROR(VLOOKUP(N459,TD!$B$54:$F$58,4,0)," ")</f>
        <v>20240207</v>
      </c>
      <c r="X459" s="166" t="s">
        <v>174</v>
      </c>
      <c r="Y459" s="167" t="str">
        <f>IFERROR(VLOOKUP(X459,TD!$J$55:$K$68,2,0)," ")</f>
        <v>Infraestructura física, mantenimiento y dotación (Sedes construidas, mantenidas reforzadas)</v>
      </c>
      <c r="Z459" s="168" t="str">
        <f>CONCATENATE(X459,"-",Y459)</f>
        <v>08-Infraestructura física, mantenimiento y dotación (Sedes construidas, mantenidas reforzadas)</v>
      </c>
      <c r="AA459" s="166" t="s">
        <v>227</v>
      </c>
      <c r="AB459" s="167" t="str">
        <f>IFERROR(VLOOKUP(AA459,TD!$N$55:$O$70,2,0)," ")</f>
        <v>Sedes mantenidas</v>
      </c>
      <c r="AC459" s="168" t="str">
        <f>CONCATENATE(AA459,"_",AB459)</f>
        <v>016_Sedes mantenidas</v>
      </c>
      <c r="AD459" s="168" t="str">
        <f>CONCATENATE(Z459," ",AC459)</f>
        <v>08-Infraestructura física, mantenimiento y dotación (Sedes construidas, mantenidas reforzadas) 016_Sedes mantenidas</v>
      </c>
      <c r="AE459" s="167" t="str">
        <f>CONCATENATE(U459,V459,W459,X459,AA459)</f>
        <v>O23011745992024020708016</v>
      </c>
      <c r="AF459" s="167" t="str">
        <f>IFERROR(VLOOKUP(AD459,TD!$J$70:$K$93,2,0)," ")</f>
        <v>PM/0131/0108/45990160207</v>
      </c>
      <c r="AG459" s="114" t="s">
        <v>385</v>
      </c>
      <c r="AH459" s="166" t="s">
        <v>193</v>
      </c>
      <c r="AI459" s="169" t="str">
        <f>CONCATENATE(PAA[[#This Row],[Id Interno]],"-",PAA[[#This Row],[tipo de Contrato (TH talento humano - B/S bienes y/o servicios)]],"-",S459,"-",T459,"-",PAA[[#This Row],[Objeto de la contratación]])</f>
        <v>20260432-TH-8126-8--Prestación de servicios profesionales para adelantar actividades técnicas y trámites administrativos del Área de Infraestructura de la Subdirección de Gestión Corporativa-SGC</v>
      </c>
    </row>
    <row r="460" spans="2:35" ht="42" x14ac:dyDescent="0.35">
      <c r="B460" s="23">
        <v>20260433</v>
      </c>
      <c r="C460" s="164" t="s">
        <v>657</v>
      </c>
      <c r="D460" s="23" t="s">
        <v>105</v>
      </c>
      <c r="E460" s="23" t="s">
        <v>363</v>
      </c>
      <c r="F460" s="163" t="s">
        <v>144</v>
      </c>
      <c r="G460" s="164" t="s">
        <v>373</v>
      </c>
      <c r="H460" s="165">
        <v>11</v>
      </c>
      <c r="I460" s="165">
        <v>0</v>
      </c>
      <c r="J460" s="122">
        <v>99000000</v>
      </c>
      <c r="K460" s="88" t="s">
        <v>398</v>
      </c>
      <c r="L460" s="163" t="s">
        <v>155</v>
      </c>
      <c r="M460" s="166" t="s">
        <v>422</v>
      </c>
      <c r="N460" s="23" t="s">
        <v>197</v>
      </c>
      <c r="O460" s="144" t="s">
        <v>886</v>
      </c>
      <c r="P460" s="163" t="s">
        <v>348</v>
      </c>
      <c r="Q460" s="53" t="s">
        <v>725</v>
      </c>
      <c r="R460" s="166" t="s">
        <v>207</v>
      </c>
      <c r="S460" s="166" t="str">
        <f>MID(PAA[[#This Row],[Meta Proyecto de Inversión]],1,4)</f>
        <v>8126</v>
      </c>
      <c r="T460" s="166" t="str">
        <f>MID(PAA[[#This Row],[Meta Proyecto de Inversión]],6,2)</f>
        <v>8-</v>
      </c>
      <c r="U460" s="167" t="str">
        <f>IFERROR(VLOOKUP(N460,TD!$B$54:$F$58,2,0)," ")</f>
        <v>O230117</v>
      </c>
      <c r="V460" s="167" t="str">
        <f>IFERROR(VLOOKUP(N460,TD!$B$54:$F$58,3,0)," ")</f>
        <v>4599</v>
      </c>
      <c r="W460" s="167">
        <f>IFERROR(VLOOKUP(N460,TD!$B$54:$F$58,4,0)," ")</f>
        <v>20240207</v>
      </c>
      <c r="X460" s="166" t="s">
        <v>174</v>
      </c>
      <c r="Y460" s="167" t="str">
        <f>IFERROR(VLOOKUP(X460,TD!$J$55:$K$68,2,0)," ")</f>
        <v>Infraestructura física, mantenimiento y dotación (Sedes construidas, mantenidas reforzadas)</v>
      </c>
      <c r="Z460" s="168" t="str">
        <f>CONCATENATE(X460,"-",Y460)</f>
        <v>08-Infraestructura física, mantenimiento y dotación (Sedes construidas, mantenidas reforzadas)</v>
      </c>
      <c r="AA460" s="166" t="s">
        <v>227</v>
      </c>
      <c r="AB460" s="167" t="str">
        <f>IFERROR(VLOOKUP(AA460,TD!$N$55:$O$70,2,0)," ")</f>
        <v>Sedes mantenidas</v>
      </c>
      <c r="AC460" s="168" t="str">
        <f>CONCATENATE(AA460,"_",AB460)</f>
        <v>016_Sedes mantenidas</v>
      </c>
      <c r="AD460" s="168" t="str">
        <f>CONCATENATE(Z460," ",AC460)</f>
        <v>08-Infraestructura física, mantenimiento y dotación (Sedes construidas, mantenidas reforzadas) 016_Sedes mantenidas</v>
      </c>
      <c r="AE460" s="167" t="str">
        <f>CONCATENATE(U460,V460,W460,X460,AA460)</f>
        <v>O23011745992024020708016</v>
      </c>
      <c r="AF460" s="167" t="str">
        <f>IFERROR(VLOOKUP(AD460,TD!$J$70:$K$93,2,0)," ")</f>
        <v>PM/0131/0108/45990160207</v>
      </c>
      <c r="AG460" s="114" t="s">
        <v>385</v>
      </c>
      <c r="AH460" s="166" t="s">
        <v>193</v>
      </c>
      <c r="AI460" s="169" t="str">
        <f>CONCATENATE(PAA[[#This Row],[Id Interno]],"-",PAA[[#This Row],[tipo de Contrato (TH talento humano - B/S bienes y/o servicios)]],"-",S460,"-",T460,"-",PAA[[#This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61" spans="2:35" ht="56" x14ac:dyDescent="0.35">
      <c r="B461" s="23">
        <v>20260434</v>
      </c>
      <c r="C461" s="164" t="s">
        <v>658</v>
      </c>
      <c r="D461" s="23" t="s">
        <v>105</v>
      </c>
      <c r="E461" s="23" t="s">
        <v>363</v>
      </c>
      <c r="F461" s="163" t="s">
        <v>144</v>
      </c>
      <c r="G461" s="164" t="s">
        <v>373</v>
      </c>
      <c r="H461" s="165">
        <v>11</v>
      </c>
      <c r="I461" s="165">
        <v>0</v>
      </c>
      <c r="J461" s="122">
        <v>102034240</v>
      </c>
      <c r="K461" s="88" t="s">
        <v>398</v>
      </c>
      <c r="L461" s="163" t="s">
        <v>155</v>
      </c>
      <c r="M461" s="166" t="s">
        <v>422</v>
      </c>
      <c r="N461" s="23" t="s">
        <v>198</v>
      </c>
      <c r="O461" s="144" t="s">
        <v>887</v>
      </c>
      <c r="P461" s="163" t="s">
        <v>348</v>
      </c>
      <c r="Q461" s="53" t="s">
        <v>725</v>
      </c>
      <c r="R461" s="166" t="s">
        <v>216</v>
      </c>
      <c r="S461" s="166" t="str">
        <f>MID(PAA[[#This Row],[Meta Proyecto de Inversión]],1,4)</f>
        <v>8173</v>
      </c>
      <c r="T461" s="166" t="str">
        <f>MID(PAA[[#This Row],[Meta Proyecto de Inversión]],6,2)</f>
        <v>7-</v>
      </c>
      <c r="U461" s="167" t="str">
        <f>IFERROR(VLOOKUP(N461,TD!$B$54:$F$58,2,0)," ")</f>
        <v>O230117</v>
      </c>
      <c r="V461" s="167" t="str">
        <f>IFERROR(VLOOKUP(N461,TD!$B$54:$F$58,3,0)," ")</f>
        <v>4503</v>
      </c>
      <c r="W461" s="167">
        <f>IFERROR(VLOOKUP(N461,TD!$B$54:$F$58,4,0)," ")</f>
        <v>20240255</v>
      </c>
      <c r="X461" s="166">
        <v>14</v>
      </c>
      <c r="Y461" s="167" t="str">
        <f>IFERROR(VLOOKUP(X461,TD!$J$55:$K$68,2,0)," ")</f>
        <v xml:space="preserve">Infraestructura física misional construida mantenida y dotada </v>
      </c>
      <c r="Z461" s="168" t="str">
        <f>CONCATENATE(X461,"-",Y461)</f>
        <v xml:space="preserve">14-Infraestructura física misional construida mantenida y dotada </v>
      </c>
      <c r="AA461" s="166" t="s">
        <v>225</v>
      </c>
      <c r="AB461" s="167" t="str">
        <f>IFERROR(VLOOKUP(AA461,TD!$N$55:$O$70,2,0)," ")</f>
        <v>Estaciones de bomberos adecuadas</v>
      </c>
      <c r="AC461" s="168" t="str">
        <f>CONCATENATE(AA461,"_",AB461)</f>
        <v>014_Estaciones de bomberos adecuadas</v>
      </c>
      <c r="AD461" s="168" t="str">
        <f>CONCATENATE(Z461," ",AC461)</f>
        <v>14-Infraestructura física misional construida mantenida y dotada  014_Estaciones de bomberos adecuadas</v>
      </c>
      <c r="AE461" s="167" t="str">
        <f>CONCATENATE(U461,V461,W461,X461,AA461)</f>
        <v>O23011745032024025514014</v>
      </c>
      <c r="AF461" s="167" t="str">
        <f>IFERROR(VLOOKUP(AD461,TD!$J$70:$K$93,2,0)," ")</f>
        <v>PM/0131/0114/45030140255</v>
      </c>
      <c r="AG461" s="114" t="s">
        <v>385</v>
      </c>
      <c r="AH461" s="166" t="s">
        <v>193</v>
      </c>
      <c r="AI461" s="169" t="str">
        <f>CONCATENATE(PAA[[#This Row],[Id Interno]],"-",PAA[[#This Row],[tipo de Contrato (TH talento humano - B/S bienes y/o servicios)]],"-",S461,"-",T461,"-",PAA[[#This Row],[Objeto de la contratación]])</f>
        <v>20260434-TH-8173-7--Prestación de Servicios Profesionales para la formulación, seguimiento y ejecución de procesos presupuestales y financieros a cargo del área de infraestructura de la Subdirección de Gestión Corporativa -SGC</v>
      </c>
    </row>
    <row r="462" spans="2:35" ht="56" x14ac:dyDescent="0.35">
      <c r="B462" s="23">
        <v>20260435</v>
      </c>
      <c r="C462" s="97" t="s">
        <v>659</v>
      </c>
      <c r="D462" s="23" t="s">
        <v>105</v>
      </c>
      <c r="E462" s="23" t="s">
        <v>363</v>
      </c>
      <c r="F462" s="163" t="s">
        <v>144</v>
      </c>
      <c r="G462" s="164" t="s">
        <v>373</v>
      </c>
      <c r="H462" s="165">
        <v>11</v>
      </c>
      <c r="I462" s="165">
        <v>0</v>
      </c>
      <c r="J462" s="122">
        <v>74976512</v>
      </c>
      <c r="K462" s="88" t="s">
        <v>398</v>
      </c>
      <c r="L462" s="163" t="s">
        <v>155</v>
      </c>
      <c r="M462" s="166" t="s">
        <v>422</v>
      </c>
      <c r="N462" s="23" t="s">
        <v>197</v>
      </c>
      <c r="O462" s="144" t="s">
        <v>886</v>
      </c>
      <c r="P462" s="163" t="s">
        <v>348</v>
      </c>
      <c r="Q462" s="53" t="s">
        <v>725</v>
      </c>
      <c r="R462" s="166" t="s">
        <v>207</v>
      </c>
      <c r="S462" s="166" t="str">
        <f>MID(PAA[[#This Row],[Meta Proyecto de Inversión]],1,4)</f>
        <v>8126</v>
      </c>
      <c r="T462" s="166" t="str">
        <f>MID(PAA[[#This Row],[Meta Proyecto de Inversión]],6,2)</f>
        <v>8-</v>
      </c>
      <c r="U462" s="167" t="str">
        <f>IFERROR(VLOOKUP(N462,TD!$B$54:$F$58,2,0)," ")</f>
        <v>O230117</v>
      </c>
      <c r="V462" s="167" t="str">
        <f>IFERROR(VLOOKUP(N462,TD!$B$54:$F$58,3,0)," ")</f>
        <v>4599</v>
      </c>
      <c r="W462" s="167">
        <f>IFERROR(VLOOKUP(N462,TD!$B$54:$F$58,4,0)," ")</f>
        <v>20240207</v>
      </c>
      <c r="X462" s="166" t="s">
        <v>174</v>
      </c>
      <c r="Y462" s="167" t="str">
        <f>IFERROR(VLOOKUP(X462,TD!$J$55:$K$68,2,0)," ")</f>
        <v>Infraestructura física, mantenimiento y dotación (Sedes construidas, mantenidas reforzadas)</v>
      </c>
      <c r="Z462" s="168" t="str">
        <f>CONCATENATE(X462,"-",Y462)</f>
        <v>08-Infraestructura física, mantenimiento y dotación (Sedes construidas, mantenidas reforzadas)</v>
      </c>
      <c r="AA462" s="166" t="s">
        <v>227</v>
      </c>
      <c r="AB462" s="167" t="str">
        <f>IFERROR(VLOOKUP(AA462,TD!$N$55:$O$70,2,0)," ")</f>
        <v>Sedes mantenidas</v>
      </c>
      <c r="AC462" s="168" t="str">
        <f>CONCATENATE(AA462,"_",AB462)</f>
        <v>016_Sedes mantenidas</v>
      </c>
      <c r="AD462" s="168" t="str">
        <f>CONCATENATE(Z462," ",AC462)</f>
        <v>08-Infraestructura física, mantenimiento y dotación (Sedes construidas, mantenidas reforzadas) 016_Sedes mantenidas</v>
      </c>
      <c r="AE462" s="167" t="str">
        <f>CONCATENATE(U462,V462,W462,X462,AA462)</f>
        <v>O23011745992024020708016</v>
      </c>
      <c r="AF462" s="167" t="str">
        <f>IFERROR(VLOOKUP(AD462,TD!$J$70:$K$93,2,0)," ")</f>
        <v>PM/0131/0108/45990160207</v>
      </c>
      <c r="AG462" s="114" t="s">
        <v>385</v>
      </c>
      <c r="AH462" s="166" t="s">
        <v>193</v>
      </c>
      <c r="AI462" s="169" t="str">
        <f>CONCATENATE(PAA[[#This Row],[Id Interno]],"-",PAA[[#This Row],[tipo de Contrato (TH talento humano - B/S bienes y/o servicios)]],"-",S462,"-",T462,"-",PAA[[#This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63" spans="2:35" ht="56" x14ac:dyDescent="0.35">
      <c r="B463" s="23">
        <v>20260436</v>
      </c>
      <c r="C463" s="97" t="s">
        <v>660</v>
      </c>
      <c r="D463" s="23" t="s">
        <v>105</v>
      </c>
      <c r="E463" s="23" t="s">
        <v>363</v>
      </c>
      <c r="F463" s="163" t="s">
        <v>144</v>
      </c>
      <c r="G463" s="164" t="s">
        <v>373</v>
      </c>
      <c r="H463" s="165">
        <v>11</v>
      </c>
      <c r="I463" s="165">
        <v>0</v>
      </c>
      <c r="J463" s="122">
        <v>74976512</v>
      </c>
      <c r="K463" s="88" t="s">
        <v>398</v>
      </c>
      <c r="L463" s="163" t="s">
        <v>155</v>
      </c>
      <c r="M463" s="166" t="s">
        <v>422</v>
      </c>
      <c r="N463" s="23" t="s">
        <v>197</v>
      </c>
      <c r="O463" s="144" t="s">
        <v>886</v>
      </c>
      <c r="P463" s="163" t="s">
        <v>348</v>
      </c>
      <c r="Q463" s="53" t="s">
        <v>725</v>
      </c>
      <c r="R463" s="166" t="s">
        <v>207</v>
      </c>
      <c r="S463" s="166" t="str">
        <f>MID(PAA[[#This Row],[Meta Proyecto de Inversión]],1,4)</f>
        <v>8126</v>
      </c>
      <c r="T463" s="166" t="str">
        <f>MID(PAA[[#This Row],[Meta Proyecto de Inversión]],6,2)</f>
        <v>8-</v>
      </c>
      <c r="U463" s="167" t="str">
        <f>IFERROR(VLOOKUP(N463,TD!$B$54:$F$58,2,0)," ")</f>
        <v>O230117</v>
      </c>
      <c r="V463" s="167" t="str">
        <f>IFERROR(VLOOKUP(N463,TD!$B$54:$F$58,3,0)," ")</f>
        <v>4599</v>
      </c>
      <c r="W463" s="167">
        <f>IFERROR(VLOOKUP(N463,TD!$B$54:$F$58,4,0)," ")</f>
        <v>20240207</v>
      </c>
      <c r="X463" s="166" t="s">
        <v>174</v>
      </c>
      <c r="Y463" s="167" t="str">
        <f>IFERROR(VLOOKUP(X463,TD!$J$55:$K$68,2,0)," ")</f>
        <v>Infraestructura física, mantenimiento y dotación (Sedes construidas, mantenidas reforzadas)</v>
      </c>
      <c r="Z463" s="168" t="str">
        <f>CONCATENATE(X463,"-",Y463)</f>
        <v>08-Infraestructura física, mantenimiento y dotación (Sedes construidas, mantenidas reforzadas)</v>
      </c>
      <c r="AA463" s="166" t="s">
        <v>227</v>
      </c>
      <c r="AB463" s="167" t="str">
        <f>IFERROR(VLOOKUP(AA463,TD!$N$55:$O$70,2,0)," ")</f>
        <v>Sedes mantenidas</v>
      </c>
      <c r="AC463" s="168" t="str">
        <f>CONCATENATE(AA463,"_",AB463)</f>
        <v>016_Sedes mantenidas</v>
      </c>
      <c r="AD463" s="168" t="str">
        <f>CONCATENATE(Z463," ",AC463)</f>
        <v>08-Infraestructura física, mantenimiento y dotación (Sedes construidas, mantenidas reforzadas) 016_Sedes mantenidas</v>
      </c>
      <c r="AE463" s="167" t="str">
        <f>CONCATENATE(U463,V463,W463,X463,AA463)</f>
        <v>O23011745992024020708016</v>
      </c>
      <c r="AF463" s="167" t="str">
        <f>IFERROR(VLOOKUP(AD463,TD!$J$70:$K$93,2,0)," ")</f>
        <v>PM/0131/0108/45990160207</v>
      </c>
      <c r="AG463" s="114" t="s">
        <v>385</v>
      </c>
      <c r="AH463" s="166" t="s">
        <v>193</v>
      </c>
      <c r="AI463" s="169" t="str">
        <f>CONCATENATE(PAA[[#This Row],[Id Interno]],"-",PAA[[#This Row],[tipo de Contrato (TH talento humano - B/S bienes y/o servicios)]],"-",S463,"-",T463,"-",PAA[[#This Row],[Objeto de la contratación]])</f>
        <v>20260436-TH-8126-8--Prestación de Servicios Profesionales en temas financieros, administrativas y misionales para apoyar los proyectos de infraestructura de la Subdirección de Gestión Corporativa.- SGC</v>
      </c>
    </row>
    <row r="464" spans="2:35" ht="42" x14ac:dyDescent="0.35">
      <c r="B464" s="23">
        <v>20260437</v>
      </c>
      <c r="C464" s="97" t="s">
        <v>661</v>
      </c>
      <c r="D464" s="23" t="s">
        <v>105</v>
      </c>
      <c r="E464" s="23" t="s">
        <v>363</v>
      </c>
      <c r="F464" s="163" t="s">
        <v>144</v>
      </c>
      <c r="G464" s="164" t="s">
        <v>373</v>
      </c>
      <c r="H464" s="165">
        <v>11</v>
      </c>
      <c r="I464" s="165">
        <v>0</v>
      </c>
      <c r="J464" s="122">
        <v>101725045</v>
      </c>
      <c r="K464" s="88" t="s">
        <v>398</v>
      </c>
      <c r="L464" s="163" t="s">
        <v>155</v>
      </c>
      <c r="M464" s="166" t="s">
        <v>422</v>
      </c>
      <c r="N464" s="23" t="s">
        <v>197</v>
      </c>
      <c r="O464" s="144" t="s">
        <v>886</v>
      </c>
      <c r="P464" s="163" t="s">
        <v>348</v>
      </c>
      <c r="Q464" s="53" t="s">
        <v>725</v>
      </c>
      <c r="R464" s="166" t="s">
        <v>207</v>
      </c>
      <c r="S464" s="166" t="str">
        <f>MID(PAA[[#This Row],[Meta Proyecto de Inversión]],1,4)</f>
        <v>8126</v>
      </c>
      <c r="T464" s="166" t="str">
        <f>MID(PAA[[#This Row],[Meta Proyecto de Inversión]],6,2)</f>
        <v>8-</v>
      </c>
      <c r="U464" s="167" t="str">
        <f>IFERROR(VLOOKUP(N464,TD!$B$54:$F$58,2,0)," ")</f>
        <v>O230117</v>
      </c>
      <c r="V464" s="167" t="str">
        <f>IFERROR(VLOOKUP(N464,TD!$B$54:$F$58,3,0)," ")</f>
        <v>4599</v>
      </c>
      <c r="W464" s="167">
        <f>IFERROR(VLOOKUP(N464,TD!$B$54:$F$58,4,0)," ")</f>
        <v>20240207</v>
      </c>
      <c r="X464" s="166" t="s">
        <v>174</v>
      </c>
      <c r="Y464" s="167" t="str">
        <f>IFERROR(VLOOKUP(X464,TD!$J$55:$K$68,2,0)," ")</f>
        <v>Infraestructura física, mantenimiento y dotación (Sedes construidas, mantenidas reforzadas)</v>
      </c>
      <c r="Z464" s="168" t="str">
        <f>CONCATENATE(X464,"-",Y464)</f>
        <v>08-Infraestructura física, mantenimiento y dotación (Sedes construidas, mantenidas reforzadas)</v>
      </c>
      <c r="AA464" s="166" t="s">
        <v>227</v>
      </c>
      <c r="AB464" s="167" t="str">
        <f>IFERROR(VLOOKUP(AA464,TD!$N$55:$O$70,2,0)," ")</f>
        <v>Sedes mantenidas</v>
      </c>
      <c r="AC464" s="168" t="str">
        <f>CONCATENATE(AA464,"_",AB464)</f>
        <v>016_Sedes mantenidas</v>
      </c>
      <c r="AD464" s="168" t="str">
        <f>CONCATENATE(Z464," ",AC464)</f>
        <v>08-Infraestructura física, mantenimiento y dotación (Sedes construidas, mantenidas reforzadas) 016_Sedes mantenidas</v>
      </c>
      <c r="AE464" s="167" t="str">
        <f>CONCATENATE(U464,V464,W464,X464,AA464)</f>
        <v>O23011745992024020708016</v>
      </c>
      <c r="AF464" s="167" t="str">
        <f>IFERROR(VLOOKUP(AD464,TD!$J$70:$K$93,2,0)," ")</f>
        <v>PM/0131/0108/45990160207</v>
      </c>
      <c r="AG464" s="114" t="s">
        <v>385</v>
      </c>
      <c r="AH464" s="166" t="s">
        <v>193</v>
      </c>
      <c r="AI464" s="169" t="str">
        <f>CONCATENATE(PAA[[#This Row],[Id Interno]],"-",PAA[[#This Row],[tipo de Contrato (TH talento humano - B/S bienes y/o servicios)]],"-",S464,"-",T464,"-",PAA[[#This Row],[Objeto de la contratación]])</f>
        <v>20260437-TH-8126-8--Prestar servicios profesionales especializados para acompañar jurídicamente los procesos y procedimientos del área de infraestructura de la Subdirección de Gestión Corporativa. SGC</v>
      </c>
    </row>
    <row r="465" spans="2:35" ht="42" x14ac:dyDescent="0.35">
      <c r="B465" s="23">
        <v>20260438</v>
      </c>
      <c r="C465" s="97" t="s">
        <v>662</v>
      </c>
      <c r="D465" s="23" t="s">
        <v>105</v>
      </c>
      <c r="E465" s="23" t="s">
        <v>363</v>
      </c>
      <c r="F465" s="163" t="s">
        <v>144</v>
      </c>
      <c r="G465" s="164" t="s">
        <v>373</v>
      </c>
      <c r="H465" s="165">
        <v>11</v>
      </c>
      <c r="I465" s="165">
        <v>0</v>
      </c>
      <c r="J465" s="122">
        <v>81102791</v>
      </c>
      <c r="K465" s="88" t="s">
        <v>398</v>
      </c>
      <c r="L465" s="163" t="s">
        <v>155</v>
      </c>
      <c r="M465" s="166" t="s">
        <v>422</v>
      </c>
      <c r="N465" s="23" t="s">
        <v>197</v>
      </c>
      <c r="O465" s="144" t="s">
        <v>886</v>
      </c>
      <c r="P465" s="163" t="s">
        <v>348</v>
      </c>
      <c r="Q465" s="53" t="s">
        <v>725</v>
      </c>
      <c r="R465" s="166" t="s">
        <v>207</v>
      </c>
      <c r="S465" s="166" t="str">
        <f>MID(PAA[[#This Row],[Meta Proyecto de Inversión]],1,4)</f>
        <v>8126</v>
      </c>
      <c r="T465" s="166" t="str">
        <f>MID(PAA[[#This Row],[Meta Proyecto de Inversión]],6,2)</f>
        <v>8-</v>
      </c>
      <c r="U465" s="167" t="str">
        <f>IFERROR(VLOOKUP(N465,TD!$B$54:$F$58,2,0)," ")</f>
        <v>O230117</v>
      </c>
      <c r="V465" s="167" t="str">
        <f>IFERROR(VLOOKUP(N465,TD!$B$54:$F$58,3,0)," ")</f>
        <v>4599</v>
      </c>
      <c r="W465" s="167">
        <f>IFERROR(VLOOKUP(N465,TD!$B$54:$F$58,4,0)," ")</f>
        <v>20240207</v>
      </c>
      <c r="X465" s="166" t="s">
        <v>174</v>
      </c>
      <c r="Y465" s="167" t="str">
        <f>IFERROR(VLOOKUP(X465,TD!$J$55:$K$68,2,0)," ")</f>
        <v>Infraestructura física, mantenimiento y dotación (Sedes construidas, mantenidas reforzadas)</v>
      </c>
      <c r="Z465" s="168" t="str">
        <f>CONCATENATE(X465,"-",Y465)</f>
        <v>08-Infraestructura física, mantenimiento y dotación (Sedes construidas, mantenidas reforzadas)</v>
      </c>
      <c r="AA465" s="166" t="s">
        <v>227</v>
      </c>
      <c r="AB465" s="167" t="str">
        <f>IFERROR(VLOOKUP(AA465,TD!$N$55:$O$70,2,0)," ")</f>
        <v>Sedes mantenidas</v>
      </c>
      <c r="AC465" s="168" t="str">
        <f>CONCATENATE(AA465,"_",AB465)</f>
        <v>016_Sedes mantenidas</v>
      </c>
      <c r="AD465" s="168" t="str">
        <f>CONCATENATE(Z465," ",AC465)</f>
        <v>08-Infraestructura física, mantenimiento y dotación (Sedes construidas, mantenidas reforzadas) 016_Sedes mantenidas</v>
      </c>
      <c r="AE465" s="167" t="str">
        <f>CONCATENATE(U465,V465,W465,X465,AA465)</f>
        <v>O23011745992024020708016</v>
      </c>
      <c r="AF465" s="167" t="str">
        <f>IFERROR(VLOOKUP(AD465,TD!$J$70:$K$93,2,0)," ")</f>
        <v>PM/0131/0108/45990160207</v>
      </c>
      <c r="AG465" s="114" t="s">
        <v>385</v>
      </c>
      <c r="AH465" s="166" t="s">
        <v>193</v>
      </c>
      <c r="AI465" s="169" t="str">
        <f>CONCATENATE(PAA[[#This Row],[Id Interno]],"-",PAA[[#This Row],[tipo de Contrato (TH talento humano - B/S bienes y/o servicios)]],"-",S465,"-",T465,"-",PAA[[#This Row],[Objeto de la contratación]])</f>
        <v>20260438-TH-8126-8--Prestación de servicios profesionales para apoyar las actividades técnicas del Área de Infraestructura de la Subdirección de Gestión Corporativa-SGC</v>
      </c>
    </row>
    <row r="466" spans="2:35" ht="42" x14ac:dyDescent="0.35">
      <c r="B466" s="23">
        <v>20260439</v>
      </c>
      <c r="C466" s="97" t="s">
        <v>663</v>
      </c>
      <c r="D466" s="23" t="s">
        <v>105</v>
      </c>
      <c r="E466" s="23" t="s">
        <v>363</v>
      </c>
      <c r="F466" s="163" t="s">
        <v>144</v>
      </c>
      <c r="G466" s="164" t="s">
        <v>373</v>
      </c>
      <c r="H466" s="165">
        <v>10</v>
      </c>
      <c r="I466" s="165">
        <v>0</v>
      </c>
      <c r="J466" s="114">
        <v>51610870</v>
      </c>
      <c r="K466" s="88" t="s">
        <v>398</v>
      </c>
      <c r="L466" s="163" t="s">
        <v>155</v>
      </c>
      <c r="M466" s="166" t="s">
        <v>422</v>
      </c>
      <c r="N466" s="23" t="s">
        <v>197</v>
      </c>
      <c r="O466" s="144" t="s">
        <v>886</v>
      </c>
      <c r="P466" s="163" t="s">
        <v>348</v>
      </c>
      <c r="Q466" s="53" t="s">
        <v>725</v>
      </c>
      <c r="R466" s="166" t="s">
        <v>207</v>
      </c>
      <c r="S466" s="166" t="str">
        <f>MID(PAA[[#This Row],[Meta Proyecto de Inversión]],1,4)</f>
        <v>8126</v>
      </c>
      <c r="T466" s="166" t="str">
        <f>MID(PAA[[#This Row],[Meta Proyecto de Inversión]],6,2)</f>
        <v>8-</v>
      </c>
      <c r="U466" s="167" t="str">
        <f>IFERROR(VLOOKUP(N466,TD!$B$54:$F$58,2,0)," ")</f>
        <v>O230117</v>
      </c>
      <c r="V466" s="167" t="str">
        <f>IFERROR(VLOOKUP(N466,TD!$B$54:$F$58,3,0)," ")</f>
        <v>4599</v>
      </c>
      <c r="W466" s="167">
        <f>IFERROR(VLOOKUP(N466,TD!$B$54:$F$58,4,0)," ")</f>
        <v>20240207</v>
      </c>
      <c r="X466" s="166" t="s">
        <v>174</v>
      </c>
      <c r="Y466" s="167" t="str">
        <f>IFERROR(VLOOKUP(X466,TD!$J$55:$K$68,2,0)," ")</f>
        <v>Infraestructura física, mantenimiento y dotación (Sedes construidas, mantenidas reforzadas)</v>
      </c>
      <c r="Z466" s="168" t="str">
        <f>CONCATENATE(X466,"-",Y466)</f>
        <v>08-Infraestructura física, mantenimiento y dotación (Sedes construidas, mantenidas reforzadas)</v>
      </c>
      <c r="AA466" s="166" t="s">
        <v>227</v>
      </c>
      <c r="AB466" s="167" t="str">
        <f>IFERROR(VLOOKUP(AA466,TD!$N$55:$O$70,2,0)," ")</f>
        <v>Sedes mantenidas</v>
      </c>
      <c r="AC466" s="168" t="str">
        <f>CONCATENATE(AA466,"_",AB466)</f>
        <v>016_Sedes mantenidas</v>
      </c>
      <c r="AD466" s="168" t="str">
        <f>CONCATENATE(Z466," ",AC466)</f>
        <v>08-Infraestructura física, mantenimiento y dotación (Sedes construidas, mantenidas reforzadas) 016_Sedes mantenidas</v>
      </c>
      <c r="AE466" s="167" t="str">
        <f>CONCATENATE(U466,V466,W466,X466,AA466)</f>
        <v>O23011745992024020708016</v>
      </c>
      <c r="AF466" s="167" t="str">
        <f>IFERROR(VLOOKUP(AD466,TD!$J$70:$K$93,2,0)," ")</f>
        <v>PM/0131/0108/45990160207</v>
      </c>
      <c r="AG466" s="114" t="s">
        <v>385</v>
      </c>
      <c r="AH466" s="166" t="s">
        <v>193</v>
      </c>
      <c r="AI466" s="169" t="str">
        <f>CONCATENATE(PAA[[#This Row],[Id Interno]],"-",PAA[[#This Row],[tipo de Contrato (TH talento humano - B/S bienes y/o servicios)]],"-",S466,"-",T466,"-",PAA[[#This Row],[Objeto de la contratación]])</f>
        <v>20260439-TH-8126-8--Prestar servicios profesionales con el fin de atender los trámites ambientales y los demás que requiera el área de Infraestructura de la Subdirección de Gestión Corporativa. SGC</v>
      </c>
    </row>
    <row r="467" spans="2:35" ht="42" x14ac:dyDescent="0.35">
      <c r="B467" s="23">
        <v>20260440</v>
      </c>
      <c r="C467" s="97" t="s">
        <v>664</v>
      </c>
      <c r="D467" s="23" t="s">
        <v>105</v>
      </c>
      <c r="E467" s="23" t="s">
        <v>363</v>
      </c>
      <c r="F467" s="163" t="s">
        <v>145</v>
      </c>
      <c r="G467" s="164" t="s">
        <v>373</v>
      </c>
      <c r="H467" s="165">
        <v>11</v>
      </c>
      <c r="I467" s="165">
        <v>0</v>
      </c>
      <c r="J467" s="122">
        <v>38060000</v>
      </c>
      <c r="K467" s="88" t="s">
        <v>398</v>
      </c>
      <c r="L467" s="163" t="s">
        <v>155</v>
      </c>
      <c r="M467" s="166" t="s">
        <v>422</v>
      </c>
      <c r="N467" s="23" t="s">
        <v>197</v>
      </c>
      <c r="O467" s="144" t="s">
        <v>886</v>
      </c>
      <c r="P467" s="163" t="s">
        <v>348</v>
      </c>
      <c r="Q467" s="53" t="s">
        <v>725</v>
      </c>
      <c r="R467" s="166" t="s">
        <v>207</v>
      </c>
      <c r="S467" s="166" t="str">
        <f>MID(PAA[[#This Row],[Meta Proyecto de Inversión]],1,4)</f>
        <v>8126</v>
      </c>
      <c r="T467" s="166" t="str">
        <f>MID(PAA[[#This Row],[Meta Proyecto de Inversión]],6,2)</f>
        <v>8-</v>
      </c>
      <c r="U467" s="167" t="str">
        <f>IFERROR(VLOOKUP(N467,TD!$B$54:$F$58,2,0)," ")</f>
        <v>O230117</v>
      </c>
      <c r="V467" s="167" t="str">
        <f>IFERROR(VLOOKUP(N467,TD!$B$54:$F$58,3,0)," ")</f>
        <v>4599</v>
      </c>
      <c r="W467" s="167">
        <f>IFERROR(VLOOKUP(N467,TD!$B$54:$F$58,4,0)," ")</f>
        <v>20240207</v>
      </c>
      <c r="X467" s="166" t="s">
        <v>174</v>
      </c>
      <c r="Y467" s="167" t="str">
        <f>IFERROR(VLOOKUP(X467,TD!$J$55:$K$68,2,0)," ")</f>
        <v>Infraestructura física, mantenimiento y dotación (Sedes construidas, mantenidas reforzadas)</v>
      </c>
      <c r="Z467" s="168" t="str">
        <f>CONCATENATE(X467,"-",Y467)</f>
        <v>08-Infraestructura física, mantenimiento y dotación (Sedes construidas, mantenidas reforzadas)</v>
      </c>
      <c r="AA467" s="166" t="s">
        <v>227</v>
      </c>
      <c r="AB467" s="167" t="str">
        <f>IFERROR(VLOOKUP(AA467,TD!$N$55:$O$70,2,0)," ")</f>
        <v>Sedes mantenidas</v>
      </c>
      <c r="AC467" s="168" t="str">
        <f>CONCATENATE(AA467,"_",AB467)</f>
        <v>016_Sedes mantenidas</v>
      </c>
      <c r="AD467" s="168" t="str">
        <f>CONCATENATE(Z467," ",AC467)</f>
        <v>08-Infraestructura física, mantenimiento y dotación (Sedes construidas, mantenidas reforzadas) 016_Sedes mantenidas</v>
      </c>
      <c r="AE467" s="167" t="str">
        <f>CONCATENATE(U467,V467,W467,X467,AA467)</f>
        <v>O23011745992024020708016</v>
      </c>
      <c r="AF467" s="167" t="str">
        <f>IFERROR(VLOOKUP(AD467,TD!$J$70:$K$93,2,0)," ")</f>
        <v>PM/0131/0108/45990160207</v>
      </c>
      <c r="AG467" s="114" t="s">
        <v>385</v>
      </c>
      <c r="AH467" s="166" t="s">
        <v>193</v>
      </c>
      <c r="AI467" s="169" t="str">
        <f>CONCATENATE(PAA[[#This Row],[Id Interno]],"-",PAA[[#This Row],[tipo de Contrato (TH talento humano - B/S bienes y/o servicios)]],"-",S467,"-",T467,"-",PAA[[#This Row],[Objeto de la contratación]])</f>
        <v>20260440-TH-8126-8--Prestar los servicios como conductor del  Area de Infraestructura a fin de atender las actividades propias asociadas al mantenimiento de las sedes de UAECOB de la Subdirección de Gestión Corporativa -SGC</v>
      </c>
    </row>
    <row r="468" spans="2:35" ht="56" x14ac:dyDescent="0.35">
      <c r="B468" s="23">
        <v>20260441</v>
      </c>
      <c r="C468" s="97" t="s">
        <v>665</v>
      </c>
      <c r="D468" s="23" t="s">
        <v>105</v>
      </c>
      <c r="E468" s="23" t="s">
        <v>363</v>
      </c>
      <c r="F468" s="163" t="s">
        <v>145</v>
      </c>
      <c r="G468" s="164" t="s">
        <v>373</v>
      </c>
      <c r="H468" s="165">
        <v>10</v>
      </c>
      <c r="I468" s="165">
        <v>0</v>
      </c>
      <c r="J468" s="122">
        <v>32733802</v>
      </c>
      <c r="K468" s="88" t="s">
        <v>398</v>
      </c>
      <c r="L468" s="163" t="s">
        <v>155</v>
      </c>
      <c r="M468" s="166" t="s">
        <v>422</v>
      </c>
      <c r="N468" s="23" t="s">
        <v>197</v>
      </c>
      <c r="O468" s="144" t="s">
        <v>886</v>
      </c>
      <c r="P468" s="163" t="s">
        <v>348</v>
      </c>
      <c r="Q468" s="53" t="s">
        <v>725</v>
      </c>
      <c r="R468" s="166" t="s">
        <v>207</v>
      </c>
      <c r="S468" s="166" t="str">
        <f>MID(PAA[[#This Row],[Meta Proyecto de Inversión]],1,4)</f>
        <v>8126</v>
      </c>
      <c r="T468" s="166" t="str">
        <f>MID(PAA[[#This Row],[Meta Proyecto de Inversión]],6,2)</f>
        <v>8-</v>
      </c>
      <c r="U468" s="167" t="str">
        <f>IFERROR(VLOOKUP(N468,TD!$B$54:$F$58,2,0)," ")</f>
        <v>O230117</v>
      </c>
      <c r="V468" s="167" t="str">
        <f>IFERROR(VLOOKUP(N468,TD!$B$54:$F$58,3,0)," ")</f>
        <v>4599</v>
      </c>
      <c r="W468" s="167">
        <f>IFERROR(VLOOKUP(N468,TD!$B$54:$F$58,4,0)," ")</f>
        <v>20240207</v>
      </c>
      <c r="X468" s="166" t="s">
        <v>174</v>
      </c>
      <c r="Y468" s="167" t="str">
        <f>IFERROR(VLOOKUP(X468,TD!$J$55:$K$68,2,0)," ")</f>
        <v>Infraestructura física, mantenimiento y dotación (Sedes construidas, mantenidas reforzadas)</v>
      </c>
      <c r="Z468" s="168" t="str">
        <f>CONCATENATE(X468,"-",Y468)</f>
        <v>08-Infraestructura física, mantenimiento y dotación (Sedes construidas, mantenidas reforzadas)</v>
      </c>
      <c r="AA468" s="166" t="s">
        <v>227</v>
      </c>
      <c r="AB468" s="167" t="str">
        <f>IFERROR(VLOOKUP(AA468,TD!$N$55:$O$70,2,0)," ")</f>
        <v>Sedes mantenidas</v>
      </c>
      <c r="AC468" s="168" t="str">
        <f>CONCATENATE(AA468,"_",AB468)</f>
        <v>016_Sedes mantenidas</v>
      </c>
      <c r="AD468" s="168" t="str">
        <f>CONCATENATE(Z468," ",AC468)</f>
        <v>08-Infraestructura física, mantenimiento y dotación (Sedes construidas, mantenidas reforzadas) 016_Sedes mantenidas</v>
      </c>
      <c r="AE468" s="167" t="str">
        <f>CONCATENATE(U468,V468,W468,X468,AA468)</f>
        <v>O23011745992024020708016</v>
      </c>
      <c r="AF468" s="167" t="str">
        <f>IFERROR(VLOOKUP(AD468,TD!$J$70:$K$93,2,0)," ")</f>
        <v>PM/0131/0108/45990160207</v>
      </c>
      <c r="AG468" s="114" t="s">
        <v>385</v>
      </c>
      <c r="AH468" s="166" t="s">
        <v>193</v>
      </c>
      <c r="AI468" s="169" t="str">
        <f>CONCATENATE(PAA[[#This Row],[Id Interno]],"-",PAA[[#This Row],[tipo de Contrato (TH talento humano - B/S bienes y/o servicios)]],"-",S468,"-",T468,"-",PAA[[#This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69" spans="2:35" ht="70" x14ac:dyDescent="0.35">
      <c r="B469" s="23">
        <v>20260442</v>
      </c>
      <c r="C469" s="97" t="s">
        <v>665</v>
      </c>
      <c r="D469" s="23" t="s">
        <v>105</v>
      </c>
      <c r="E469" s="23" t="s">
        <v>363</v>
      </c>
      <c r="F469" s="163" t="s">
        <v>145</v>
      </c>
      <c r="G469" s="164" t="s">
        <v>373</v>
      </c>
      <c r="H469" s="165">
        <v>10</v>
      </c>
      <c r="I469" s="165">
        <v>0</v>
      </c>
      <c r="J469" s="122">
        <v>32733802</v>
      </c>
      <c r="K469" s="88" t="s">
        <v>398</v>
      </c>
      <c r="L469" s="163" t="s">
        <v>155</v>
      </c>
      <c r="M469" s="166" t="s">
        <v>422</v>
      </c>
      <c r="N469" s="23" t="s">
        <v>197</v>
      </c>
      <c r="O469" s="144" t="s">
        <v>886</v>
      </c>
      <c r="P469" s="163" t="s">
        <v>348</v>
      </c>
      <c r="Q469" s="53" t="s">
        <v>725</v>
      </c>
      <c r="R469" s="166" t="s">
        <v>207</v>
      </c>
      <c r="S469" s="166" t="str">
        <f>MID(PAA[[#This Row],[Meta Proyecto de Inversión]],1,4)</f>
        <v>8126</v>
      </c>
      <c r="T469" s="166" t="str">
        <f>MID(PAA[[#This Row],[Meta Proyecto de Inversión]],6,2)</f>
        <v>8-</v>
      </c>
      <c r="U469" s="167" t="str">
        <f>IFERROR(VLOOKUP(N469,TD!$B$54:$F$58,2,0)," ")</f>
        <v>O230117</v>
      </c>
      <c r="V469" s="167" t="str">
        <f>IFERROR(VLOOKUP(N469,TD!$B$54:$F$58,3,0)," ")</f>
        <v>4599</v>
      </c>
      <c r="W469" s="167">
        <f>IFERROR(VLOOKUP(N469,TD!$B$54:$F$58,4,0)," ")</f>
        <v>20240207</v>
      </c>
      <c r="X469" s="166" t="s">
        <v>174</v>
      </c>
      <c r="Y469" s="167" t="str">
        <f>IFERROR(VLOOKUP(X469,TD!$J$55:$K$68,2,0)," ")</f>
        <v>Infraestructura física, mantenimiento y dotación (Sedes construidas, mantenidas reforzadas)</v>
      </c>
      <c r="Z469" s="168" t="str">
        <f>CONCATENATE(X469,"-",Y469)</f>
        <v>08-Infraestructura física, mantenimiento y dotación (Sedes construidas, mantenidas reforzadas)</v>
      </c>
      <c r="AA469" s="166" t="s">
        <v>227</v>
      </c>
      <c r="AB469" s="167" t="str">
        <f>IFERROR(VLOOKUP(AA469,TD!$N$55:$O$70,2,0)," ")</f>
        <v>Sedes mantenidas</v>
      </c>
      <c r="AC469" s="168" t="str">
        <f>CONCATENATE(AA469,"_",AB469)</f>
        <v>016_Sedes mantenidas</v>
      </c>
      <c r="AD469" s="168" t="str">
        <f>CONCATENATE(Z469," ",AC469)</f>
        <v>08-Infraestructura física, mantenimiento y dotación (Sedes construidas, mantenidas reforzadas) 016_Sedes mantenidas</v>
      </c>
      <c r="AE469" s="167" t="str">
        <f>CONCATENATE(U469,V469,W469,X469,AA469)</f>
        <v>O23011745992024020708016</v>
      </c>
      <c r="AF469" s="167" t="str">
        <f>IFERROR(VLOOKUP(AD469,TD!$J$70:$K$93,2,0)," ")</f>
        <v>PM/0131/0108/45990160207</v>
      </c>
      <c r="AG469" s="114" t="s">
        <v>385</v>
      </c>
      <c r="AH469" s="166" t="s">
        <v>193</v>
      </c>
      <c r="AI469" s="169" t="str">
        <f>CONCATENATE(PAA[[#This Row],[Id Interno]],"-",PAA[[#This Row],[tipo de Contrato (TH talento humano - B/S bienes y/o servicios)]],"-",S469,"-",T469,"-",PAA[[#This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70" spans="2:35" ht="70" x14ac:dyDescent="0.35">
      <c r="B470" s="23">
        <v>20260443</v>
      </c>
      <c r="C470" s="97" t="s">
        <v>665</v>
      </c>
      <c r="D470" s="23" t="s">
        <v>105</v>
      </c>
      <c r="E470" s="23" t="s">
        <v>363</v>
      </c>
      <c r="F470" s="163" t="s">
        <v>145</v>
      </c>
      <c r="G470" s="164" t="s">
        <v>373</v>
      </c>
      <c r="H470" s="165">
        <v>10</v>
      </c>
      <c r="I470" s="165">
        <v>0</v>
      </c>
      <c r="J470" s="122">
        <v>32733802</v>
      </c>
      <c r="K470" s="88" t="s">
        <v>398</v>
      </c>
      <c r="L470" s="163" t="s">
        <v>155</v>
      </c>
      <c r="M470" s="166" t="s">
        <v>422</v>
      </c>
      <c r="N470" s="23" t="s">
        <v>197</v>
      </c>
      <c r="O470" s="144" t="s">
        <v>886</v>
      </c>
      <c r="P470" s="163" t="s">
        <v>348</v>
      </c>
      <c r="Q470" s="53" t="s">
        <v>725</v>
      </c>
      <c r="R470" s="166" t="s">
        <v>207</v>
      </c>
      <c r="S470" s="166" t="str">
        <f>MID(PAA[[#This Row],[Meta Proyecto de Inversión]],1,4)</f>
        <v>8126</v>
      </c>
      <c r="T470" s="166" t="str">
        <f>MID(PAA[[#This Row],[Meta Proyecto de Inversión]],6,2)</f>
        <v>8-</v>
      </c>
      <c r="U470" s="167" t="str">
        <f>IFERROR(VLOOKUP(N470,TD!$B$54:$F$58,2,0)," ")</f>
        <v>O230117</v>
      </c>
      <c r="V470" s="167" t="str">
        <f>IFERROR(VLOOKUP(N470,TD!$B$54:$F$58,3,0)," ")</f>
        <v>4599</v>
      </c>
      <c r="W470" s="167">
        <f>IFERROR(VLOOKUP(N470,TD!$B$54:$F$58,4,0)," ")</f>
        <v>20240207</v>
      </c>
      <c r="X470" s="166" t="s">
        <v>174</v>
      </c>
      <c r="Y470" s="167" t="str">
        <f>IFERROR(VLOOKUP(X470,TD!$J$55:$K$68,2,0)," ")</f>
        <v>Infraestructura física, mantenimiento y dotación (Sedes construidas, mantenidas reforzadas)</v>
      </c>
      <c r="Z470" s="168" t="str">
        <f>CONCATENATE(X470,"-",Y470)</f>
        <v>08-Infraestructura física, mantenimiento y dotación (Sedes construidas, mantenidas reforzadas)</v>
      </c>
      <c r="AA470" s="166" t="s">
        <v>227</v>
      </c>
      <c r="AB470" s="167" t="str">
        <f>IFERROR(VLOOKUP(AA470,TD!$N$55:$O$70,2,0)," ")</f>
        <v>Sedes mantenidas</v>
      </c>
      <c r="AC470" s="168" t="str">
        <f>CONCATENATE(AA470,"_",AB470)</f>
        <v>016_Sedes mantenidas</v>
      </c>
      <c r="AD470" s="168" t="str">
        <f>CONCATENATE(Z470," ",AC470)</f>
        <v>08-Infraestructura física, mantenimiento y dotación (Sedes construidas, mantenidas reforzadas) 016_Sedes mantenidas</v>
      </c>
      <c r="AE470" s="167" t="str">
        <f>CONCATENATE(U470,V470,W470,X470,AA470)</f>
        <v>O23011745992024020708016</v>
      </c>
      <c r="AF470" s="167" t="str">
        <f>IFERROR(VLOOKUP(AD470,TD!$J$70:$K$93,2,0)," ")</f>
        <v>PM/0131/0108/45990160207</v>
      </c>
      <c r="AG470" s="114" t="s">
        <v>385</v>
      </c>
      <c r="AH470" s="166" t="s">
        <v>193</v>
      </c>
      <c r="AI470" s="169" t="str">
        <f>CONCATENATE(PAA[[#This Row],[Id Interno]],"-",PAA[[#This Row],[tipo de Contrato (TH talento humano - B/S bienes y/o servicios)]],"-",S470,"-",T470,"-",PAA[[#This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71" spans="2:35" ht="70" x14ac:dyDescent="0.35">
      <c r="B471" s="23">
        <v>20260444</v>
      </c>
      <c r="C471" s="97" t="s">
        <v>665</v>
      </c>
      <c r="D471" s="23" t="s">
        <v>105</v>
      </c>
      <c r="E471" s="23" t="s">
        <v>363</v>
      </c>
      <c r="F471" s="163" t="s">
        <v>145</v>
      </c>
      <c r="G471" s="164" t="s">
        <v>373</v>
      </c>
      <c r="H471" s="165">
        <v>11</v>
      </c>
      <c r="I471" s="165">
        <v>0</v>
      </c>
      <c r="J471" s="122">
        <v>36127608</v>
      </c>
      <c r="K471" s="88" t="s">
        <v>398</v>
      </c>
      <c r="L471" s="163" t="s">
        <v>155</v>
      </c>
      <c r="M471" s="166" t="s">
        <v>422</v>
      </c>
      <c r="N471" s="23" t="s">
        <v>197</v>
      </c>
      <c r="O471" s="144" t="s">
        <v>886</v>
      </c>
      <c r="P471" s="163" t="s">
        <v>348</v>
      </c>
      <c r="Q471" s="53" t="s">
        <v>725</v>
      </c>
      <c r="R471" s="166" t="s">
        <v>207</v>
      </c>
      <c r="S471" s="166" t="str">
        <f>MID(PAA[[#This Row],[Meta Proyecto de Inversión]],1,4)</f>
        <v>8126</v>
      </c>
      <c r="T471" s="166" t="str">
        <f>MID(PAA[[#This Row],[Meta Proyecto de Inversión]],6,2)</f>
        <v>8-</v>
      </c>
      <c r="U471" s="167" t="str">
        <f>IFERROR(VLOOKUP(N471,TD!$B$54:$F$58,2,0)," ")</f>
        <v>O230117</v>
      </c>
      <c r="V471" s="167" t="str">
        <f>IFERROR(VLOOKUP(N471,TD!$B$54:$F$58,3,0)," ")</f>
        <v>4599</v>
      </c>
      <c r="W471" s="167">
        <f>IFERROR(VLOOKUP(N471,TD!$B$54:$F$58,4,0)," ")</f>
        <v>20240207</v>
      </c>
      <c r="X471" s="166" t="s">
        <v>174</v>
      </c>
      <c r="Y471" s="167" t="str">
        <f>IFERROR(VLOOKUP(X471,TD!$J$55:$K$68,2,0)," ")</f>
        <v>Infraestructura física, mantenimiento y dotación (Sedes construidas, mantenidas reforzadas)</v>
      </c>
      <c r="Z471" s="168" t="str">
        <f>CONCATENATE(X471,"-",Y471)</f>
        <v>08-Infraestructura física, mantenimiento y dotación (Sedes construidas, mantenidas reforzadas)</v>
      </c>
      <c r="AA471" s="166" t="s">
        <v>227</v>
      </c>
      <c r="AB471" s="167" t="str">
        <f>IFERROR(VLOOKUP(AA471,TD!$N$55:$O$70,2,0)," ")</f>
        <v>Sedes mantenidas</v>
      </c>
      <c r="AC471" s="168" t="str">
        <f>CONCATENATE(AA471,"_",AB471)</f>
        <v>016_Sedes mantenidas</v>
      </c>
      <c r="AD471" s="168" t="str">
        <f>CONCATENATE(Z471," ",AC471)</f>
        <v>08-Infraestructura física, mantenimiento y dotación (Sedes construidas, mantenidas reforzadas) 016_Sedes mantenidas</v>
      </c>
      <c r="AE471" s="167" t="str">
        <f>CONCATENATE(U471,V471,W471,X471,AA471)</f>
        <v>O23011745992024020708016</v>
      </c>
      <c r="AF471" s="167" t="str">
        <f>IFERROR(VLOOKUP(AD471,TD!$J$70:$K$93,2,0)," ")</f>
        <v>PM/0131/0108/45990160207</v>
      </c>
      <c r="AG471" s="114" t="s">
        <v>385</v>
      </c>
      <c r="AH471" s="166" t="s">
        <v>193</v>
      </c>
      <c r="AI471" s="169" t="str">
        <f>CONCATENATE(PAA[[#This Row],[Id Interno]],"-",PAA[[#This Row],[tipo de Contrato (TH talento humano - B/S bienes y/o servicios)]],"-",S471,"-",T471,"-",PAA[[#This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72" spans="2:35" ht="70" x14ac:dyDescent="0.35">
      <c r="B472" s="23">
        <v>20260445</v>
      </c>
      <c r="C472" s="97" t="s">
        <v>666</v>
      </c>
      <c r="D472" s="23" t="s">
        <v>105</v>
      </c>
      <c r="E472" s="23" t="s">
        <v>363</v>
      </c>
      <c r="F472" s="163" t="s">
        <v>144</v>
      </c>
      <c r="G472" s="164" t="s">
        <v>373</v>
      </c>
      <c r="H472" s="165">
        <v>11</v>
      </c>
      <c r="I472" s="165">
        <v>0</v>
      </c>
      <c r="J472" s="122">
        <v>66356829</v>
      </c>
      <c r="K472" s="88" t="s">
        <v>398</v>
      </c>
      <c r="L472" s="163" t="s">
        <v>155</v>
      </c>
      <c r="M472" s="166" t="s">
        <v>422</v>
      </c>
      <c r="N472" s="23" t="s">
        <v>197</v>
      </c>
      <c r="O472" s="144" t="s">
        <v>886</v>
      </c>
      <c r="P472" s="163" t="s">
        <v>348</v>
      </c>
      <c r="Q472" s="53" t="s">
        <v>725</v>
      </c>
      <c r="R472" s="166" t="s">
        <v>208</v>
      </c>
      <c r="S472" s="166" t="str">
        <f>MID(PAA[[#This Row],[Meta Proyecto de Inversión]],1,4)</f>
        <v>8126</v>
      </c>
      <c r="T472" s="166" t="str">
        <f>MID(PAA[[#This Row],[Meta Proyecto de Inversión]],6,2)</f>
        <v>9-</v>
      </c>
      <c r="U472" s="167" t="str">
        <f>IFERROR(VLOOKUP(N472,TD!$B$54:$F$58,2,0)," ")</f>
        <v>O230117</v>
      </c>
      <c r="V472" s="167" t="str">
        <f>IFERROR(VLOOKUP(N472,TD!$B$54:$F$58,3,0)," ")</f>
        <v>4599</v>
      </c>
      <c r="W472" s="167">
        <f>IFERROR(VLOOKUP(N472,TD!$B$54:$F$58,4,0)," ")</f>
        <v>20240207</v>
      </c>
      <c r="X472" s="166" t="s">
        <v>174</v>
      </c>
      <c r="Y472" s="167" t="str">
        <f>IFERROR(VLOOKUP(X472,TD!$J$55:$K$68,2,0)," ")</f>
        <v>Infraestructura física, mantenimiento y dotación (Sedes construidas, mantenidas reforzadas)</v>
      </c>
      <c r="Z472" s="168" t="str">
        <f>CONCATENATE(X472,"-",Y472)</f>
        <v>08-Infraestructura física, mantenimiento y dotación (Sedes construidas, mantenidas reforzadas)</v>
      </c>
      <c r="AA472" s="166" t="s">
        <v>227</v>
      </c>
      <c r="AB472" s="167" t="str">
        <f>IFERROR(VLOOKUP(AA472,TD!$N$55:$O$70,2,0)," ")</f>
        <v>Sedes mantenidas</v>
      </c>
      <c r="AC472" s="168" t="str">
        <f>CONCATENATE(AA472,"_",AB472)</f>
        <v>016_Sedes mantenidas</v>
      </c>
      <c r="AD472" s="168" t="str">
        <f>CONCATENATE(Z472," ",AC472)</f>
        <v>08-Infraestructura física, mantenimiento y dotación (Sedes construidas, mantenidas reforzadas) 016_Sedes mantenidas</v>
      </c>
      <c r="AE472" s="167" t="str">
        <f>CONCATENATE(U472,V472,W472,X472,AA472)</f>
        <v>O23011745992024020708016</v>
      </c>
      <c r="AF472" s="167" t="str">
        <f>IFERROR(VLOOKUP(AD472,TD!$J$70:$K$93,2,0)," ")</f>
        <v>PM/0131/0108/45990160207</v>
      </c>
      <c r="AG472" s="114" t="s">
        <v>385</v>
      </c>
      <c r="AH472" s="166" t="s">
        <v>193</v>
      </c>
      <c r="AI472" s="169" t="str">
        <f>CONCATENATE(PAA[[#This Row],[Id Interno]],"-",PAA[[#This Row],[tipo de Contrato (TH talento humano - B/S bienes y/o servicios)]],"-",S472,"-",T472,"-",PAA[[#This Row],[Objeto de la contratación]])</f>
        <v>20260445-TH-8126-9--Prestación de servicios profesionales al área Financiera de la Subdirección de Gestión Corporativa--SGC</v>
      </c>
    </row>
    <row r="473" spans="2:35" ht="42" x14ac:dyDescent="0.35">
      <c r="B473" s="23">
        <v>20260446</v>
      </c>
      <c r="C473" s="97" t="s">
        <v>666</v>
      </c>
      <c r="D473" s="23" t="s">
        <v>105</v>
      </c>
      <c r="E473" s="23" t="s">
        <v>363</v>
      </c>
      <c r="F473" s="163" t="s">
        <v>144</v>
      </c>
      <c r="G473" s="164" t="s">
        <v>373</v>
      </c>
      <c r="H473" s="165">
        <v>11</v>
      </c>
      <c r="I473" s="165">
        <v>0</v>
      </c>
      <c r="J473" s="122">
        <v>66356829</v>
      </c>
      <c r="K473" s="88" t="s">
        <v>398</v>
      </c>
      <c r="L473" s="163" t="s">
        <v>155</v>
      </c>
      <c r="M473" s="166" t="s">
        <v>422</v>
      </c>
      <c r="N473" s="23" t="s">
        <v>197</v>
      </c>
      <c r="O473" s="144" t="s">
        <v>886</v>
      </c>
      <c r="P473" s="163" t="s">
        <v>348</v>
      </c>
      <c r="Q473" s="53" t="s">
        <v>725</v>
      </c>
      <c r="R473" s="166" t="s">
        <v>208</v>
      </c>
      <c r="S473" s="166" t="str">
        <f>MID(PAA[[#This Row],[Meta Proyecto de Inversión]],1,4)</f>
        <v>8126</v>
      </c>
      <c r="T473" s="166" t="str">
        <f>MID(PAA[[#This Row],[Meta Proyecto de Inversión]],6,2)</f>
        <v>9-</v>
      </c>
      <c r="U473" s="167" t="str">
        <f>IFERROR(VLOOKUP(N473,TD!$B$54:$F$58,2,0)," ")</f>
        <v>O230117</v>
      </c>
      <c r="V473" s="167" t="str">
        <f>IFERROR(VLOOKUP(N473,TD!$B$54:$F$58,3,0)," ")</f>
        <v>4599</v>
      </c>
      <c r="W473" s="167">
        <f>IFERROR(VLOOKUP(N473,TD!$B$54:$F$58,4,0)," ")</f>
        <v>20240207</v>
      </c>
      <c r="X473" s="166" t="s">
        <v>174</v>
      </c>
      <c r="Y473" s="167" t="str">
        <f>IFERROR(VLOOKUP(X473,TD!$J$55:$K$68,2,0)," ")</f>
        <v>Infraestructura física, mantenimiento y dotación (Sedes construidas, mantenidas reforzadas)</v>
      </c>
      <c r="Z473" s="168" t="str">
        <f>CONCATENATE(X473,"-",Y473)</f>
        <v>08-Infraestructura física, mantenimiento y dotación (Sedes construidas, mantenidas reforzadas)</v>
      </c>
      <c r="AA473" s="166" t="s">
        <v>227</v>
      </c>
      <c r="AB473" s="167" t="str">
        <f>IFERROR(VLOOKUP(AA473,TD!$N$55:$O$70,2,0)," ")</f>
        <v>Sedes mantenidas</v>
      </c>
      <c r="AC473" s="168" t="str">
        <f>CONCATENATE(AA473,"_",AB473)</f>
        <v>016_Sedes mantenidas</v>
      </c>
      <c r="AD473" s="168" t="str">
        <f>CONCATENATE(Z473," ",AC473)</f>
        <v>08-Infraestructura física, mantenimiento y dotación (Sedes construidas, mantenidas reforzadas) 016_Sedes mantenidas</v>
      </c>
      <c r="AE473" s="167" t="str">
        <f>CONCATENATE(U473,V473,W473,X473,AA473)</f>
        <v>O23011745992024020708016</v>
      </c>
      <c r="AF473" s="167" t="str">
        <f>IFERROR(VLOOKUP(AD473,TD!$J$70:$K$93,2,0)," ")</f>
        <v>PM/0131/0108/45990160207</v>
      </c>
      <c r="AG473" s="114" t="s">
        <v>385</v>
      </c>
      <c r="AH473" s="166" t="s">
        <v>193</v>
      </c>
      <c r="AI473" s="169" t="str">
        <f>CONCATENATE(PAA[[#This Row],[Id Interno]],"-",PAA[[#This Row],[tipo de Contrato (TH talento humano - B/S bienes y/o servicios)]],"-",S473,"-",T473,"-",PAA[[#This Row],[Objeto de la contratación]])</f>
        <v>20260446-TH-8126-9--Prestación de servicios profesionales al área Financiera de la Subdirección de Gestión Corporativa--SGC</v>
      </c>
    </row>
    <row r="474" spans="2:35" ht="42" x14ac:dyDescent="0.35">
      <c r="B474" s="23">
        <v>20260447</v>
      </c>
      <c r="C474" s="97" t="s">
        <v>667</v>
      </c>
      <c r="D474" s="23" t="s">
        <v>105</v>
      </c>
      <c r="E474" s="23" t="s">
        <v>363</v>
      </c>
      <c r="F474" s="163" t="s">
        <v>145</v>
      </c>
      <c r="G474" s="164" t="s">
        <v>373</v>
      </c>
      <c r="H474" s="165">
        <v>11</v>
      </c>
      <c r="I474" s="165">
        <v>0</v>
      </c>
      <c r="J474" s="122">
        <v>49398976</v>
      </c>
      <c r="K474" s="88" t="s">
        <v>398</v>
      </c>
      <c r="L474" s="163" t="s">
        <v>155</v>
      </c>
      <c r="M474" s="166" t="s">
        <v>422</v>
      </c>
      <c r="N474" s="23" t="s">
        <v>197</v>
      </c>
      <c r="O474" s="144" t="s">
        <v>886</v>
      </c>
      <c r="P474" s="163" t="s">
        <v>348</v>
      </c>
      <c r="Q474" s="53" t="s">
        <v>725</v>
      </c>
      <c r="R474" s="166" t="s">
        <v>208</v>
      </c>
      <c r="S474" s="166" t="str">
        <f>MID(PAA[[#This Row],[Meta Proyecto de Inversión]],1,4)</f>
        <v>8126</v>
      </c>
      <c r="T474" s="166" t="str">
        <f>MID(PAA[[#This Row],[Meta Proyecto de Inversión]],6,2)</f>
        <v>9-</v>
      </c>
      <c r="U474" s="167" t="str">
        <f>IFERROR(VLOOKUP(N474,TD!$B$54:$F$58,2,0)," ")</f>
        <v>O230117</v>
      </c>
      <c r="V474" s="167" t="str">
        <f>IFERROR(VLOOKUP(N474,TD!$B$54:$F$58,3,0)," ")</f>
        <v>4599</v>
      </c>
      <c r="W474" s="167">
        <f>IFERROR(VLOOKUP(N474,TD!$B$54:$F$58,4,0)," ")</f>
        <v>20240207</v>
      </c>
      <c r="X474" s="166" t="s">
        <v>174</v>
      </c>
      <c r="Y474" s="167" t="str">
        <f>IFERROR(VLOOKUP(X474,TD!$J$55:$K$68,2,0)," ")</f>
        <v>Infraestructura física, mantenimiento y dotación (Sedes construidas, mantenidas reforzadas)</v>
      </c>
      <c r="Z474" s="168" t="str">
        <f>CONCATENATE(X474,"-",Y474)</f>
        <v>08-Infraestructura física, mantenimiento y dotación (Sedes construidas, mantenidas reforzadas)</v>
      </c>
      <c r="AA474" s="166" t="s">
        <v>227</v>
      </c>
      <c r="AB474" s="167" t="str">
        <f>IFERROR(VLOOKUP(AA474,TD!$N$55:$O$70,2,0)," ")</f>
        <v>Sedes mantenidas</v>
      </c>
      <c r="AC474" s="168" t="str">
        <f>CONCATENATE(AA474,"_",AB474)</f>
        <v>016_Sedes mantenidas</v>
      </c>
      <c r="AD474" s="168" t="str">
        <f>CONCATENATE(Z474," ",AC474)</f>
        <v>08-Infraestructura física, mantenimiento y dotación (Sedes construidas, mantenidas reforzadas) 016_Sedes mantenidas</v>
      </c>
      <c r="AE474" s="167" t="str">
        <f>CONCATENATE(U474,V474,W474,X474,AA474)</f>
        <v>O23011745992024020708016</v>
      </c>
      <c r="AF474" s="167" t="str">
        <f>IFERROR(VLOOKUP(AD474,TD!$J$70:$K$93,2,0)," ")</f>
        <v>PM/0131/0108/45990160207</v>
      </c>
      <c r="AG474" s="114" t="s">
        <v>385</v>
      </c>
      <c r="AH474" s="166" t="s">
        <v>193</v>
      </c>
      <c r="AI474" s="169" t="str">
        <f>CONCATENATE(PAA[[#This Row],[Id Interno]],"-",PAA[[#This Row],[tipo de Contrato (TH talento humano - B/S bienes y/o servicios)]],"-",S474,"-",T474,"-",PAA[[#This Row],[Objeto de la contratación]])</f>
        <v>20260447-TH-8126-9--Prestación de servicios de apoyo a la gestión del área Financiera de la Subdirección de Gestión Corporativa.-SGC</v>
      </c>
    </row>
    <row r="475" spans="2:35" ht="96" customHeight="1" x14ac:dyDescent="0.35">
      <c r="B475" s="23">
        <v>20260448</v>
      </c>
      <c r="C475" s="97" t="s">
        <v>668</v>
      </c>
      <c r="D475" s="23" t="s">
        <v>105</v>
      </c>
      <c r="E475" s="23" t="s">
        <v>363</v>
      </c>
      <c r="F475" s="163" t="s">
        <v>144</v>
      </c>
      <c r="G475" s="164" t="s">
        <v>373</v>
      </c>
      <c r="H475" s="165">
        <v>11</v>
      </c>
      <c r="I475" s="165">
        <v>0</v>
      </c>
      <c r="J475" s="122">
        <v>66356829</v>
      </c>
      <c r="K475" s="88" t="s">
        <v>398</v>
      </c>
      <c r="L475" s="163" t="s">
        <v>155</v>
      </c>
      <c r="M475" s="166" t="s">
        <v>422</v>
      </c>
      <c r="N475" s="23" t="s">
        <v>197</v>
      </c>
      <c r="O475" s="144" t="s">
        <v>886</v>
      </c>
      <c r="P475" s="163" t="s">
        <v>348</v>
      </c>
      <c r="Q475" s="53" t="s">
        <v>725</v>
      </c>
      <c r="R475" s="166" t="s">
        <v>208</v>
      </c>
      <c r="S475" s="166" t="str">
        <f>MID(PAA[[#This Row],[Meta Proyecto de Inversión]],1,4)</f>
        <v>8126</v>
      </c>
      <c r="T475" s="166" t="str">
        <f>MID(PAA[[#This Row],[Meta Proyecto de Inversión]],6,2)</f>
        <v>9-</v>
      </c>
      <c r="U475" s="167" t="str">
        <f>IFERROR(VLOOKUP(N475,TD!$B$54:$F$58,2,0)," ")</f>
        <v>O230117</v>
      </c>
      <c r="V475" s="167" t="str">
        <f>IFERROR(VLOOKUP(N475,TD!$B$54:$F$58,3,0)," ")</f>
        <v>4599</v>
      </c>
      <c r="W475" s="167">
        <f>IFERROR(VLOOKUP(N475,TD!$B$54:$F$58,4,0)," ")</f>
        <v>20240207</v>
      </c>
      <c r="X475" s="166" t="s">
        <v>174</v>
      </c>
      <c r="Y475" s="167" t="str">
        <f>IFERROR(VLOOKUP(X475,TD!$J$55:$K$68,2,0)," ")</f>
        <v>Infraestructura física, mantenimiento y dotación (Sedes construidas, mantenidas reforzadas)</v>
      </c>
      <c r="Z475" s="168" t="str">
        <f>CONCATENATE(X475,"-",Y475)</f>
        <v>08-Infraestructura física, mantenimiento y dotación (Sedes construidas, mantenidas reforzadas)</v>
      </c>
      <c r="AA475" s="166" t="s">
        <v>227</v>
      </c>
      <c r="AB475" s="167" t="str">
        <f>IFERROR(VLOOKUP(AA475,TD!$N$55:$O$70,2,0)," ")</f>
        <v>Sedes mantenidas</v>
      </c>
      <c r="AC475" s="168" t="str">
        <f>CONCATENATE(AA475,"_",AB475)</f>
        <v>016_Sedes mantenidas</v>
      </c>
      <c r="AD475" s="168" t="str">
        <f>CONCATENATE(Z475," ",AC475)</f>
        <v>08-Infraestructura física, mantenimiento y dotación (Sedes construidas, mantenidas reforzadas) 016_Sedes mantenidas</v>
      </c>
      <c r="AE475" s="167" t="str">
        <f>CONCATENATE(U475,V475,W475,X475,AA475)</f>
        <v>O23011745992024020708016</v>
      </c>
      <c r="AF475" s="167" t="str">
        <f>IFERROR(VLOOKUP(AD475,TD!$J$70:$K$93,2,0)," ")</f>
        <v>PM/0131/0108/45990160207</v>
      </c>
      <c r="AG475" s="114" t="s">
        <v>385</v>
      </c>
      <c r="AH475" s="166" t="s">
        <v>193</v>
      </c>
      <c r="AI475" s="169" t="str">
        <f>CONCATENATE(PAA[[#This Row],[Id Interno]],"-",PAA[[#This Row],[tipo de Contrato (TH talento humano - B/S bienes y/o servicios)]],"-",S475,"-",T475,"-",PAA[[#This Row],[Objeto de la contratación]])</f>
        <v>20260448-TH-8126-9--Prestación de servicios profesionales para el seguimiento, ejecución de los procesos de gestión de pagos que se desarrollan en el área Financiera de la UAE Cuerpo Oficial de Bomberos asignados. -SGC</v>
      </c>
    </row>
    <row r="476" spans="2:35" ht="56" x14ac:dyDescent="0.35">
      <c r="B476" s="23">
        <v>20260449</v>
      </c>
      <c r="C476" s="97" t="s">
        <v>669</v>
      </c>
      <c r="D476" s="23" t="s">
        <v>105</v>
      </c>
      <c r="E476" s="23" t="s">
        <v>363</v>
      </c>
      <c r="F476" s="163" t="s">
        <v>144</v>
      </c>
      <c r="G476" s="164" t="s">
        <v>373</v>
      </c>
      <c r="H476" s="165">
        <v>11</v>
      </c>
      <c r="I476" s="165">
        <v>0</v>
      </c>
      <c r="J476" s="122">
        <v>101725078</v>
      </c>
      <c r="K476" s="88" t="s">
        <v>398</v>
      </c>
      <c r="L476" s="163" t="s">
        <v>155</v>
      </c>
      <c r="M476" s="166" t="s">
        <v>422</v>
      </c>
      <c r="N476" s="23" t="s">
        <v>197</v>
      </c>
      <c r="O476" s="144" t="s">
        <v>886</v>
      </c>
      <c r="P476" s="163" t="s">
        <v>348</v>
      </c>
      <c r="Q476" s="53" t="s">
        <v>725</v>
      </c>
      <c r="R476" s="166" t="s">
        <v>207</v>
      </c>
      <c r="S476" s="166" t="str">
        <f>MID(PAA[[#This Row],[Meta Proyecto de Inversión]],1,4)</f>
        <v>8126</v>
      </c>
      <c r="T476" s="166" t="str">
        <f>MID(PAA[[#This Row],[Meta Proyecto de Inversión]],6,2)</f>
        <v>8-</v>
      </c>
      <c r="U476" s="167" t="str">
        <f>IFERROR(VLOOKUP(N476,TD!$B$54:$F$58,2,0)," ")</f>
        <v>O230117</v>
      </c>
      <c r="V476" s="167" t="str">
        <f>IFERROR(VLOOKUP(N476,TD!$B$54:$F$58,3,0)," ")</f>
        <v>4599</v>
      </c>
      <c r="W476" s="167">
        <f>IFERROR(VLOOKUP(N476,TD!$B$54:$F$58,4,0)," ")</f>
        <v>20240207</v>
      </c>
      <c r="X476" s="166" t="s">
        <v>174</v>
      </c>
      <c r="Y476" s="167" t="str">
        <f>IFERROR(VLOOKUP(X476,TD!$J$55:$K$68,2,0)," ")</f>
        <v>Infraestructura física, mantenimiento y dotación (Sedes construidas, mantenidas reforzadas)</v>
      </c>
      <c r="Z476" s="168" t="str">
        <f>CONCATENATE(X476,"-",Y476)</f>
        <v>08-Infraestructura física, mantenimiento y dotación (Sedes construidas, mantenidas reforzadas)</v>
      </c>
      <c r="AA476" s="166" t="s">
        <v>227</v>
      </c>
      <c r="AB476" s="167" t="str">
        <f>IFERROR(VLOOKUP(AA476,TD!$N$55:$O$70,2,0)," ")</f>
        <v>Sedes mantenidas</v>
      </c>
      <c r="AC476" s="168" t="str">
        <f>CONCATENATE(AA476,"_",AB476)</f>
        <v>016_Sedes mantenidas</v>
      </c>
      <c r="AD476" s="168" t="str">
        <f>CONCATENATE(Z476," ",AC476)</f>
        <v>08-Infraestructura física, mantenimiento y dotación (Sedes construidas, mantenidas reforzadas) 016_Sedes mantenidas</v>
      </c>
      <c r="AE476" s="167" t="str">
        <f>CONCATENATE(U476,V476,W476,X476,AA476)</f>
        <v>O23011745992024020708016</v>
      </c>
      <c r="AF476" s="167" t="str">
        <f>IFERROR(VLOOKUP(AD476,TD!$J$70:$K$93,2,0)," ")</f>
        <v>PM/0131/0108/45990160207</v>
      </c>
      <c r="AG476" s="114" t="s">
        <v>385</v>
      </c>
      <c r="AH476" s="166" t="s">
        <v>193</v>
      </c>
      <c r="AI476" s="169" t="str">
        <f>CONCATENATE(PAA[[#This Row],[Id Interno]],"-",PAA[[#This Row],[tipo de Contrato (TH talento humano - B/S bienes y/o servicios)]],"-",S476,"-",T476,"-",PAA[[#This Row],[Objeto de la contratación]])</f>
        <v>20260449-TH-8126-8--Prestación de servicios profesionales especializados para apoyar las actividades de seguimiento técnico del Área de Infraestructura de la Subdirección de Gestión Corporativa-SGC</v>
      </c>
    </row>
    <row r="477" spans="2:35" ht="132.5" customHeight="1" x14ac:dyDescent="0.35">
      <c r="B477" s="23">
        <v>20260450</v>
      </c>
      <c r="C477" s="97" t="s">
        <v>665</v>
      </c>
      <c r="D477" s="23" t="s">
        <v>105</v>
      </c>
      <c r="E477" s="23" t="s">
        <v>363</v>
      </c>
      <c r="F477" s="163" t="s">
        <v>145</v>
      </c>
      <c r="G477" s="164" t="s">
        <v>373</v>
      </c>
      <c r="H477" s="165">
        <v>11</v>
      </c>
      <c r="I477" s="165">
        <v>0</v>
      </c>
      <c r="J477" s="122">
        <v>36127608</v>
      </c>
      <c r="K477" s="88" t="s">
        <v>398</v>
      </c>
      <c r="L477" s="163" t="s">
        <v>155</v>
      </c>
      <c r="M477" s="166" t="s">
        <v>422</v>
      </c>
      <c r="N477" s="23" t="s">
        <v>197</v>
      </c>
      <c r="O477" s="144" t="s">
        <v>886</v>
      </c>
      <c r="P477" s="163" t="s">
        <v>348</v>
      </c>
      <c r="Q477" s="53" t="s">
        <v>725</v>
      </c>
      <c r="R477" s="166" t="s">
        <v>207</v>
      </c>
      <c r="S477" s="166" t="str">
        <f>MID(PAA[[#This Row],[Meta Proyecto de Inversión]],1,4)</f>
        <v>8126</v>
      </c>
      <c r="T477" s="166" t="str">
        <f>MID(PAA[[#This Row],[Meta Proyecto de Inversión]],6,2)</f>
        <v>8-</v>
      </c>
      <c r="U477" s="167" t="str">
        <f>IFERROR(VLOOKUP(N477,TD!$B$54:$F$58,2,0)," ")</f>
        <v>O230117</v>
      </c>
      <c r="V477" s="167" t="str">
        <f>IFERROR(VLOOKUP(N477,TD!$B$54:$F$58,3,0)," ")</f>
        <v>4599</v>
      </c>
      <c r="W477" s="167">
        <f>IFERROR(VLOOKUP(N477,TD!$B$54:$F$58,4,0)," ")</f>
        <v>20240207</v>
      </c>
      <c r="X477" s="166" t="s">
        <v>174</v>
      </c>
      <c r="Y477" s="167" t="str">
        <f>IFERROR(VLOOKUP(X477,TD!$J$55:$K$68,2,0)," ")</f>
        <v>Infraestructura física, mantenimiento y dotación (Sedes construidas, mantenidas reforzadas)</v>
      </c>
      <c r="Z477" s="168" t="str">
        <f>CONCATENATE(X477,"-",Y477)</f>
        <v>08-Infraestructura física, mantenimiento y dotación (Sedes construidas, mantenidas reforzadas)</v>
      </c>
      <c r="AA477" s="166" t="s">
        <v>227</v>
      </c>
      <c r="AB477" s="167" t="str">
        <f>IFERROR(VLOOKUP(AA477,TD!$N$55:$O$70,2,0)," ")</f>
        <v>Sedes mantenidas</v>
      </c>
      <c r="AC477" s="168" t="str">
        <f>CONCATENATE(AA477,"_",AB477)</f>
        <v>016_Sedes mantenidas</v>
      </c>
      <c r="AD477" s="168" t="str">
        <f>CONCATENATE(Z477," ",AC477)</f>
        <v>08-Infraestructura física, mantenimiento y dotación (Sedes construidas, mantenidas reforzadas) 016_Sedes mantenidas</v>
      </c>
      <c r="AE477" s="167" t="str">
        <f>CONCATENATE(U477,V477,W477,X477,AA477)</f>
        <v>O23011745992024020708016</v>
      </c>
      <c r="AF477" s="167" t="str">
        <f>IFERROR(VLOOKUP(AD477,TD!$J$70:$K$93,2,0)," ")</f>
        <v>PM/0131/0108/45990160207</v>
      </c>
      <c r="AG477" s="114" t="s">
        <v>385</v>
      </c>
      <c r="AH477" s="166" t="s">
        <v>193</v>
      </c>
      <c r="AI477" s="169" t="str">
        <f>CONCATENATE(PAA[[#This Row],[Id Interno]],"-",PAA[[#This Row],[tipo de Contrato (TH talento humano - B/S bienes y/o servicios)]],"-",S477,"-",T477,"-",PAA[[#This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78" spans="2:35" ht="83.5" customHeight="1" x14ac:dyDescent="0.35">
      <c r="B478" s="23">
        <v>20260451</v>
      </c>
      <c r="C478" s="97" t="s">
        <v>665</v>
      </c>
      <c r="D478" s="23" t="s">
        <v>105</v>
      </c>
      <c r="E478" s="23" t="s">
        <v>363</v>
      </c>
      <c r="F478" s="163" t="s">
        <v>145</v>
      </c>
      <c r="G478" s="164" t="s">
        <v>373</v>
      </c>
      <c r="H478" s="165">
        <v>11</v>
      </c>
      <c r="I478" s="165">
        <v>0</v>
      </c>
      <c r="J478" s="122">
        <v>36127608</v>
      </c>
      <c r="K478" s="88" t="s">
        <v>398</v>
      </c>
      <c r="L478" s="163" t="s">
        <v>155</v>
      </c>
      <c r="M478" s="166" t="s">
        <v>422</v>
      </c>
      <c r="N478" s="23" t="s">
        <v>197</v>
      </c>
      <c r="O478" s="144" t="s">
        <v>886</v>
      </c>
      <c r="P478" s="163" t="s">
        <v>348</v>
      </c>
      <c r="Q478" s="53" t="s">
        <v>725</v>
      </c>
      <c r="R478" s="166" t="s">
        <v>207</v>
      </c>
      <c r="S478" s="166" t="str">
        <f>MID(PAA[[#This Row],[Meta Proyecto de Inversión]],1,4)</f>
        <v>8126</v>
      </c>
      <c r="T478" s="166" t="str">
        <f>MID(PAA[[#This Row],[Meta Proyecto de Inversión]],6,2)</f>
        <v>8-</v>
      </c>
      <c r="U478" s="167" t="str">
        <f>IFERROR(VLOOKUP(N478,TD!$B$54:$F$58,2,0)," ")</f>
        <v>O230117</v>
      </c>
      <c r="V478" s="167" t="str">
        <f>IFERROR(VLOOKUP(N478,TD!$B$54:$F$58,3,0)," ")</f>
        <v>4599</v>
      </c>
      <c r="W478" s="167">
        <f>IFERROR(VLOOKUP(N478,TD!$B$54:$F$58,4,0)," ")</f>
        <v>20240207</v>
      </c>
      <c r="X478" s="166" t="s">
        <v>174</v>
      </c>
      <c r="Y478" s="167" t="str">
        <f>IFERROR(VLOOKUP(X478,TD!$J$55:$K$68,2,0)," ")</f>
        <v>Infraestructura física, mantenimiento y dotación (Sedes construidas, mantenidas reforzadas)</v>
      </c>
      <c r="Z478" s="168" t="str">
        <f>CONCATENATE(X478,"-",Y478)</f>
        <v>08-Infraestructura física, mantenimiento y dotación (Sedes construidas, mantenidas reforzadas)</v>
      </c>
      <c r="AA478" s="166" t="s">
        <v>227</v>
      </c>
      <c r="AB478" s="167" t="str">
        <f>IFERROR(VLOOKUP(AA478,TD!$N$55:$O$70,2,0)," ")</f>
        <v>Sedes mantenidas</v>
      </c>
      <c r="AC478" s="168" t="str">
        <f>CONCATENATE(AA478,"_",AB478)</f>
        <v>016_Sedes mantenidas</v>
      </c>
      <c r="AD478" s="168" t="str">
        <f>CONCATENATE(Z478," ",AC478)</f>
        <v>08-Infraestructura física, mantenimiento y dotación (Sedes construidas, mantenidas reforzadas) 016_Sedes mantenidas</v>
      </c>
      <c r="AE478" s="167" t="str">
        <f>CONCATENATE(U478,V478,W478,X478,AA478)</f>
        <v>O23011745992024020708016</v>
      </c>
      <c r="AF478" s="167" t="str">
        <f>IFERROR(VLOOKUP(AD478,TD!$J$70:$K$93,2,0)," ")</f>
        <v>PM/0131/0108/45990160207</v>
      </c>
      <c r="AG478" s="114" t="s">
        <v>385</v>
      </c>
      <c r="AH478" s="175" t="s">
        <v>193</v>
      </c>
      <c r="AI478" s="169" t="str">
        <f>CONCATENATE(PAA[[#This Row],[Id Interno]],"-",PAA[[#This Row],[tipo de Contrato (TH talento humano - B/S bienes y/o servicios)]],"-",S478,"-",T478,"-",PAA[[#This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79" spans="2:35" ht="70" x14ac:dyDescent="0.35">
      <c r="B479" s="23">
        <v>20260452</v>
      </c>
      <c r="C479" s="117" t="s">
        <v>670</v>
      </c>
      <c r="D479" s="125" t="s">
        <v>105</v>
      </c>
      <c r="E479" s="125" t="s">
        <v>363</v>
      </c>
      <c r="F479" s="176" t="s">
        <v>144</v>
      </c>
      <c r="G479" s="177" t="s">
        <v>373</v>
      </c>
      <c r="H479" s="178">
        <v>11</v>
      </c>
      <c r="I479" s="165">
        <v>0</v>
      </c>
      <c r="J479" s="127">
        <v>57200000</v>
      </c>
      <c r="K479" s="128" t="s">
        <v>398</v>
      </c>
      <c r="L479" s="176" t="s">
        <v>155</v>
      </c>
      <c r="M479" s="174" t="s">
        <v>422</v>
      </c>
      <c r="N479" s="125" t="s">
        <v>198</v>
      </c>
      <c r="O479" s="144" t="s">
        <v>887</v>
      </c>
      <c r="P479" s="176" t="s">
        <v>348</v>
      </c>
      <c r="Q479" s="129" t="s">
        <v>725</v>
      </c>
      <c r="R479" s="174" t="s">
        <v>216</v>
      </c>
      <c r="S479" s="174" t="str">
        <f>MID(PAA[[#This Row],[Meta Proyecto de Inversión]],1,4)</f>
        <v>8173</v>
      </c>
      <c r="T479" s="174" t="str">
        <f>MID(PAA[[#This Row],[Meta Proyecto de Inversión]],6,2)</f>
        <v>7-</v>
      </c>
      <c r="U479" s="179" t="str">
        <f>IFERROR(VLOOKUP(N479,TD!$B$54:$F$58,2,0)," ")</f>
        <v>O230117</v>
      </c>
      <c r="V479" s="179" t="str">
        <f>IFERROR(VLOOKUP(N479,TD!$B$54:$F$58,3,0)," ")</f>
        <v>4503</v>
      </c>
      <c r="W479" s="179">
        <f>IFERROR(VLOOKUP(N479,TD!$B$54:$F$58,4,0)," ")</f>
        <v>20240255</v>
      </c>
      <c r="X479" s="174">
        <v>14</v>
      </c>
      <c r="Y479" s="167" t="str">
        <f>IFERROR(VLOOKUP(X479,TD!$J$55:$K$68,2,0)," ")</f>
        <v xml:space="preserve">Infraestructura física misional construida mantenida y dotada </v>
      </c>
      <c r="Z479" s="180" t="str">
        <f>CONCATENATE(X479,"-",Y479)</f>
        <v xml:space="preserve">14-Infraestructura física misional construida mantenida y dotada </v>
      </c>
      <c r="AA479" s="174" t="s">
        <v>225</v>
      </c>
      <c r="AB479" s="167" t="str">
        <f>IFERROR(VLOOKUP(AA479,TD!$N$55:$O$70,2,0)," ")</f>
        <v>Estaciones de bomberos adecuadas</v>
      </c>
      <c r="AC479" s="180" t="str">
        <f>CONCATENATE(AA479,"_",AB479)</f>
        <v>014_Estaciones de bomberos adecuadas</v>
      </c>
      <c r="AD479" s="180" t="str">
        <f>CONCATENATE(Z479," ",AC479)</f>
        <v>14-Infraestructura física misional construida mantenida y dotada  014_Estaciones de bomberos adecuadas</v>
      </c>
      <c r="AE479" s="179" t="str">
        <f>CONCATENATE(U479,V479,W479,X479,AA479)</f>
        <v>O23011745032024025514014</v>
      </c>
      <c r="AF479" s="167" t="str">
        <f>IFERROR(VLOOKUP(AD479,TD!$J$70:$K$93,2,0)," ")</f>
        <v>PM/0131/0114/45030140255</v>
      </c>
      <c r="AG479" s="130" t="s">
        <v>385</v>
      </c>
      <c r="AH479" s="181" t="s">
        <v>193</v>
      </c>
      <c r="AI479" s="169" t="str">
        <f>CONCATENATE(PAA[[#This Row],[Id Interno]],"-",PAA[[#This Row],[tipo de Contrato (TH talento humano - B/S bienes y/o servicios)]],"-",S479,"-",T479,"-",PAA[[#This Row],[Objeto de la contratación]])</f>
        <v>20260452-TH-8173-7--Prestación de servicios profesionales en la proyección y el seguimiento financiero a los proyectos del área de infraestructura de la Subdirección de Gestión Corporativa -SGC</v>
      </c>
    </row>
    <row r="480" spans="2:35" ht="42" x14ac:dyDescent="0.35">
      <c r="B480" s="23">
        <v>20260453</v>
      </c>
      <c r="C480" s="97" t="s">
        <v>671</v>
      </c>
      <c r="D480" s="23" t="s">
        <v>105</v>
      </c>
      <c r="E480" s="23" t="s">
        <v>363</v>
      </c>
      <c r="F480" s="163" t="s">
        <v>144</v>
      </c>
      <c r="G480" s="164" t="s">
        <v>373</v>
      </c>
      <c r="H480" s="165">
        <v>10</v>
      </c>
      <c r="I480" s="165">
        <v>0</v>
      </c>
      <c r="J480" s="122">
        <v>36194634</v>
      </c>
      <c r="K480" s="88" t="s">
        <v>398</v>
      </c>
      <c r="L480" s="163" t="s">
        <v>155</v>
      </c>
      <c r="M480" s="166" t="s">
        <v>422</v>
      </c>
      <c r="N480" s="23" t="s">
        <v>198</v>
      </c>
      <c r="O480" s="144" t="s">
        <v>887</v>
      </c>
      <c r="P480" s="163" t="s">
        <v>348</v>
      </c>
      <c r="Q480" s="53" t="s">
        <v>725</v>
      </c>
      <c r="R480" s="166" t="s">
        <v>216</v>
      </c>
      <c r="S480" s="166" t="str">
        <f>MID(PAA[[#This Row],[Meta Proyecto de Inversión]],1,4)</f>
        <v>8173</v>
      </c>
      <c r="T480" s="166" t="str">
        <f>MID(PAA[[#This Row],[Meta Proyecto de Inversión]],6,2)</f>
        <v>7-</v>
      </c>
      <c r="U480" s="167" t="str">
        <f>IFERROR(VLOOKUP(N480,TD!$B$54:$F$58,2,0)," ")</f>
        <v>O230117</v>
      </c>
      <c r="V480" s="167" t="str">
        <f>IFERROR(VLOOKUP(N480,TD!$B$54:$F$58,3,0)," ")</f>
        <v>4503</v>
      </c>
      <c r="W480" s="167">
        <f>IFERROR(VLOOKUP(N480,TD!$B$54:$F$58,4,0)," ")</f>
        <v>20240255</v>
      </c>
      <c r="X480" s="166">
        <v>14</v>
      </c>
      <c r="Y480" s="167" t="str">
        <f>IFERROR(VLOOKUP(X480,TD!$J$55:$K$68,2,0)," ")</f>
        <v xml:space="preserve">Infraestructura física misional construida mantenida y dotada </v>
      </c>
      <c r="Z480" s="168" t="str">
        <f>CONCATENATE(X480,"-",Y480)</f>
        <v xml:space="preserve">14-Infraestructura física misional construida mantenida y dotada </v>
      </c>
      <c r="AA480" s="166" t="s">
        <v>225</v>
      </c>
      <c r="AB480" s="167" t="str">
        <f>IFERROR(VLOOKUP(AA480,TD!$N$55:$O$70,2,0)," ")</f>
        <v>Estaciones de bomberos adecuadas</v>
      </c>
      <c r="AC480" s="168" t="str">
        <f>CONCATENATE(AA480,"_",AB480)</f>
        <v>014_Estaciones de bomberos adecuadas</v>
      </c>
      <c r="AD480" s="168" t="str">
        <f>CONCATENATE(Z480," ",AC480)</f>
        <v>14-Infraestructura física misional construida mantenida y dotada  014_Estaciones de bomberos adecuadas</v>
      </c>
      <c r="AE480" s="167" t="str">
        <f>CONCATENATE(U480,V480,W480,X480,AA480)</f>
        <v>O23011745032024025514014</v>
      </c>
      <c r="AF480" s="167" t="str">
        <f>IFERROR(VLOOKUP(AD480,TD!$J$70:$K$93,2,0)," ")</f>
        <v>PM/0131/0114/45030140255</v>
      </c>
      <c r="AG480" s="114" t="s">
        <v>385</v>
      </c>
      <c r="AH480" s="175" t="s">
        <v>193</v>
      </c>
      <c r="AI480" s="169" t="str">
        <f>CONCATENATE(PAA[[#This Row],[Id Interno]],"-",PAA[[#This Row],[tipo de Contrato (TH talento humano - B/S bienes y/o servicios)]],"-",S480,"-",T480,"-",PAA[[#This Row],[Objeto de la contratación]])</f>
        <v>20260453-TH-8173-7--Prestación de servicios profesionales con el fin de gestionar trámites de carácter técnico, administrativo y operativamente en el desarrollo de los proyectos de inversión  de la entidad-SGC</v>
      </c>
    </row>
    <row r="481" spans="2:35" ht="56" x14ac:dyDescent="0.35">
      <c r="B481" s="23">
        <v>20260454</v>
      </c>
      <c r="C481" s="97" t="s">
        <v>645</v>
      </c>
      <c r="D481" s="23" t="s">
        <v>105</v>
      </c>
      <c r="E481" s="23" t="s">
        <v>363</v>
      </c>
      <c r="F481" s="163" t="s">
        <v>144</v>
      </c>
      <c r="G481" s="164" t="s">
        <v>373</v>
      </c>
      <c r="H481" s="165">
        <v>11</v>
      </c>
      <c r="I481" s="165">
        <v>0</v>
      </c>
      <c r="J481" s="122">
        <v>81102791</v>
      </c>
      <c r="K481" s="88" t="s">
        <v>398</v>
      </c>
      <c r="L481" s="163" t="s">
        <v>155</v>
      </c>
      <c r="M481" s="166" t="s">
        <v>422</v>
      </c>
      <c r="N481" s="23" t="s">
        <v>197</v>
      </c>
      <c r="O481" s="144" t="s">
        <v>886</v>
      </c>
      <c r="P481" s="163" t="s">
        <v>348</v>
      </c>
      <c r="Q481" s="53" t="s">
        <v>725</v>
      </c>
      <c r="R481" s="166" t="s">
        <v>208</v>
      </c>
      <c r="S481" s="166" t="str">
        <f>MID(PAA[[#This Row],[Meta Proyecto de Inversión]],1,4)</f>
        <v>8126</v>
      </c>
      <c r="T481" s="166" t="str">
        <f>MID(PAA[[#This Row],[Meta Proyecto de Inversión]],6,2)</f>
        <v>9-</v>
      </c>
      <c r="U481" s="167" t="str">
        <f>IFERROR(VLOOKUP(N481,TD!$B$54:$F$58,2,0)," ")</f>
        <v>O230117</v>
      </c>
      <c r="V481" s="167" t="str">
        <f>IFERROR(VLOOKUP(N481,TD!$B$54:$F$58,3,0)," ")</f>
        <v>4599</v>
      </c>
      <c r="W481" s="167">
        <f>IFERROR(VLOOKUP(N481,TD!$B$54:$F$58,4,0)," ")</f>
        <v>20240207</v>
      </c>
      <c r="X481" s="166" t="s">
        <v>174</v>
      </c>
      <c r="Y481" s="167" t="str">
        <f>IFERROR(VLOOKUP(X481,TD!$J$55:$K$68,2,0)," ")</f>
        <v>Infraestructura física, mantenimiento y dotación (Sedes construidas, mantenidas reforzadas)</v>
      </c>
      <c r="Z481" s="168" t="str">
        <f>CONCATENATE(X481,"-",Y481)</f>
        <v>08-Infraestructura física, mantenimiento y dotación (Sedes construidas, mantenidas reforzadas)</v>
      </c>
      <c r="AA481" s="166" t="s">
        <v>227</v>
      </c>
      <c r="AB481" s="167" t="str">
        <f>IFERROR(VLOOKUP(AA481,TD!$N$55:$O$70,2,0)," ")</f>
        <v>Sedes mantenidas</v>
      </c>
      <c r="AC481" s="168" t="str">
        <f>CONCATENATE(AA481,"_",AB481)</f>
        <v>016_Sedes mantenidas</v>
      </c>
      <c r="AD481" s="168" t="str">
        <f>CONCATENATE(Z481," ",AC481)</f>
        <v>08-Infraestructura física, mantenimiento y dotación (Sedes construidas, mantenidas reforzadas) 016_Sedes mantenidas</v>
      </c>
      <c r="AE481" s="167" t="str">
        <f>CONCATENATE(U481,V481,W481,X481,AA481)</f>
        <v>O23011745992024020708016</v>
      </c>
      <c r="AF481" s="167" t="str">
        <f>IFERROR(VLOOKUP(AD481,TD!$J$70:$K$93,2,0)," ")</f>
        <v>PM/0131/0108/45990160207</v>
      </c>
      <c r="AG481" s="114" t="s">
        <v>385</v>
      </c>
      <c r="AH481" s="175" t="s">
        <v>193</v>
      </c>
      <c r="AI481" s="169" t="str">
        <f>CONCATENATE(PAA[[#This Row],[Id Interno]],"-",PAA[[#This Row],[tipo de Contrato (TH talento humano - B/S bienes y/o servicios)]],"-",S481,"-",T481,"-",PAA[[#This Row],[Objeto de la contratación]])</f>
        <v>20260454-TH-8126-9--Prestar servicios profesionales para realizar acompañamiento juridico en la elaboración de los procesos contractuales adelantados por la Subdirección Gestión Corporativa -SGC</v>
      </c>
    </row>
    <row r="482" spans="2:35" ht="56" x14ac:dyDescent="0.35">
      <c r="B482" s="23">
        <v>20260455</v>
      </c>
      <c r="C482" s="97" t="s">
        <v>657</v>
      </c>
      <c r="D482" s="23" t="s">
        <v>105</v>
      </c>
      <c r="E482" s="23" t="s">
        <v>363</v>
      </c>
      <c r="F482" s="163" t="s">
        <v>144</v>
      </c>
      <c r="G482" s="164" t="s">
        <v>373</v>
      </c>
      <c r="H482" s="165">
        <v>11</v>
      </c>
      <c r="I482" s="165">
        <v>0</v>
      </c>
      <c r="J482" s="122">
        <v>99000000</v>
      </c>
      <c r="K482" s="88" t="s">
        <v>398</v>
      </c>
      <c r="L482" s="163" t="s">
        <v>155</v>
      </c>
      <c r="M482" s="166" t="s">
        <v>422</v>
      </c>
      <c r="N482" s="23" t="s">
        <v>198</v>
      </c>
      <c r="O482" s="144" t="s">
        <v>887</v>
      </c>
      <c r="P482" s="163" t="s">
        <v>348</v>
      </c>
      <c r="Q482" s="53" t="s">
        <v>725</v>
      </c>
      <c r="R482" s="166" t="s">
        <v>216</v>
      </c>
      <c r="S482" s="166" t="str">
        <f>MID(PAA[[#This Row],[Meta Proyecto de Inversión]],1,4)</f>
        <v>8173</v>
      </c>
      <c r="T482" s="166" t="str">
        <f>MID(PAA[[#This Row],[Meta Proyecto de Inversión]],6,2)</f>
        <v>7-</v>
      </c>
      <c r="U482" s="167" t="str">
        <f>IFERROR(VLOOKUP(N482,TD!$B$54:$F$58,2,0)," ")</f>
        <v>O230117</v>
      </c>
      <c r="V482" s="167" t="str">
        <f>IFERROR(VLOOKUP(N482,TD!$B$54:$F$58,3,0)," ")</f>
        <v>4503</v>
      </c>
      <c r="W482" s="167">
        <f>IFERROR(VLOOKUP(N482,TD!$B$54:$F$58,4,0)," ")</f>
        <v>20240255</v>
      </c>
      <c r="X482" s="166">
        <v>14</v>
      </c>
      <c r="Y482" s="167" t="str">
        <f>IFERROR(VLOOKUP(X482,TD!$J$55:$K$68,2,0)," ")</f>
        <v xml:space="preserve">Infraestructura física misional construida mantenida y dotada </v>
      </c>
      <c r="Z482" s="168" t="str">
        <f>CONCATENATE(X482,"-",Y482)</f>
        <v xml:space="preserve">14-Infraestructura física misional construida mantenida y dotada </v>
      </c>
      <c r="AA482" s="166" t="s">
        <v>225</v>
      </c>
      <c r="AB482" s="167" t="str">
        <f>IFERROR(VLOOKUP(AA482,TD!$N$55:$O$70,2,0)," ")</f>
        <v>Estaciones de bomberos adecuadas</v>
      </c>
      <c r="AC482" s="168" t="str">
        <f>CONCATENATE(AA482,"_",AB482)</f>
        <v>014_Estaciones de bomberos adecuadas</v>
      </c>
      <c r="AD482" s="168" t="str">
        <f>CONCATENATE(Z482," ",AC482)</f>
        <v>14-Infraestructura física misional construida mantenida y dotada  014_Estaciones de bomberos adecuadas</v>
      </c>
      <c r="AE482" s="167" t="str">
        <f>CONCATENATE(U482,V482,W482,X482,AA482)</f>
        <v>O23011745032024025514014</v>
      </c>
      <c r="AF482" s="167" t="str">
        <f>IFERROR(VLOOKUP(AD482,TD!$J$70:$K$93,2,0)," ")</f>
        <v>PM/0131/0114/45030140255</v>
      </c>
      <c r="AG482" s="114" t="s">
        <v>385</v>
      </c>
      <c r="AH482" s="175" t="s">
        <v>193</v>
      </c>
      <c r="AI482" s="169" t="str">
        <f>CONCATENATE(PAA[[#This Row],[Id Interno]],"-",PAA[[#This Row],[tipo de Contrato (TH talento humano - B/S bienes y/o servicios)]],"-",S482,"-",T482,"-",PAA[[#This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83" spans="2:35" ht="56" x14ac:dyDescent="0.35">
      <c r="B483" s="23">
        <v>20260456</v>
      </c>
      <c r="C483" s="97" t="s">
        <v>665</v>
      </c>
      <c r="D483" s="23" t="s">
        <v>105</v>
      </c>
      <c r="E483" s="23" t="s">
        <v>363</v>
      </c>
      <c r="F483" s="163" t="s">
        <v>145</v>
      </c>
      <c r="G483" s="164" t="s">
        <v>373</v>
      </c>
      <c r="H483" s="165">
        <v>10</v>
      </c>
      <c r="I483" s="165">
        <v>0</v>
      </c>
      <c r="J483" s="122">
        <v>32733802</v>
      </c>
      <c r="K483" s="88" t="s">
        <v>398</v>
      </c>
      <c r="L483" s="163" t="s">
        <v>155</v>
      </c>
      <c r="M483" s="166" t="s">
        <v>422</v>
      </c>
      <c r="N483" s="23" t="s">
        <v>197</v>
      </c>
      <c r="O483" s="144" t="s">
        <v>886</v>
      </c>
      <c r="P483" s="163" t="s">
        <v>348</v>
      </c>
      <c r="Q483" s="53" t="s">
        <v>725</v>
      </c>
      <c r="R483" s="166" t="s">
        <v>207</v>
      </c>
      <c r="S483" s="166" t="str">
        <f>MID(PAA[[#This Row],[Meta Proyecto de Inversión]],1,4)</f>
        <v>8126</v>
      </c>
      <c r="T483" s="166" t="str">
        <f>MID(PAA[[#This Row],[Meta Proyecto de Inversión]],6,2)</f>
        <v>8-</v>
      </c>
      <c r="U483" s="167" t="str">
        <f>IFERROR(VLOOKUP(N483,TD!$B$54:$F$58,2,0)," ")</f>
        <v>O230117</v>
      </c>
      <c r="V483" s="167" t="str">
        <f>IFERROR(VLOOKUP(N483,TD!$B$54:$F$58,3,0)," ")</f>
        <v>4599</v>
      </c>
      <c r="W483" s="167">
        <f>IFERROR(VLOOKUP(N483,TD!$B$54:$F$58,4,0)," ")</f>
        <v>20240207</v>
      </c>
      <c r="X483" s="166" t="s">
        <v>174</v>
      </c>
      <c r="Y483" s="167" t="str">
        <f>IFERROR(VLOOKUP(X483,TD!$J$55:$K$68,2,0)," ")</f>
        <v>Infraestructura física, mantenimiento y dotación (Sedes construidas, mantenidas reforzadas)</v>
      </c>
      <c r="Z483" s="168" t="str">
        <f>CONCATENATE(X483,"-",Y483)</f>
        <v>08-Infraestructura física, mantenimiento y dotación (Sedes construidas, mantenidas reforzadas)</v>
      </c>
      <c r="AA483" s="166" t="s">
        <v>227</v>
      </c>
      <c r="AB483" s="167" t="str">
        <f>IFERROR(VLOOKUP(AA483,TD!$N$55:$O$70,2,0)," ")</f>
        <v>Sedes mantenidas</v>
      </c>
      <c r="AC483" s="168" t="str">
        <f>CONCATENATE(AA483,"_",AB483)</f>
        <v>016_Sedes mantenidas</v>
      </c>
      <c r="AD483" s="168" t="str">
        <f>CONCATENATE(Z483," ",AC483)</f>
        <v>08-Infraestructura física, mantenimiento y dotación (Sedes construidas, mantenidas reforzadas) 016_Sedes mantenidas</v>
      </c>
      <c r="AE483" s="167" t="str">
        <f>CONCATENATE(U483,V483,W483,X483,AA483)</f>
        <v>O23011745992024020708016</v>
      </c>
      <c r="AF483" s="167" t="str">
        <f>IFERROR(VLOOKUP(AD483,TD!$J$70:$K$93,2,0)," ")</f>
        <v>PM/0131/0108/45990160207</v>
      </c>
      <c r="AG483" s="114" t="s">
        <v>385</v>
      </c>
      <c r="AH483" s="175" t="s">
        <v>193</v>
      </c>
      <c r="AI483" s="169" t="str">
        <f>CONCATENATE(PAA[[#This Row],[Id Interno]],"-",PAA[[#This Row],[tipo de Contrato (TH talento humano - B/S bienes y/o servicios)]],"-",S483,"-",T483,"-",PAA[[#This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84" spans="2:35" ht="70" x14ac:dyDescent="0.35">
      <c r="B484" s="23">
        <v>20260457</v>
      </c>
      <c r="C484" s="97" t="s">
        <v>665</v>
      </c>
      <c r="D484" s="23" t="s">
        <v>105</v>
      </c>
      <c r="E484" s="23" t="s">
        <v>363</v>
      </c>
      <c r="F484" s="163" t="s">
        <v>145</v>
      </c>
      <c r="G484" s="164" t="s">
        <v>373</v>
      </c>
      <c r="H484" s="165">
        <v>11</v>
      </c>
      <c r="I484" s="165">
        <v>0</v>
      </c>
      <c r="J484" s="122">
        <v>36127608</v>
      </c>
      <c r="K484" s="88" t="s">
        <v>398</v>
      </c>
      <c r="L484" s="163" t="s">
        <v>155</v>
      </c>
      <c r="M484" s="166" t="s">
        <v>422</v>
      </c>
      <c r="N484" s="23" t="s">
        <v>197</v>
      </c>
      <c r="O484" s="144" t="s">
        <v>886</v>
      </c>
      <c r="P484" s="163" t="s">
        <v>348</v>
      </c>
      <c r="Q484" s="53" t="s">
        <v>725</v>
      </c>
      <c r="R484" s="166" t="s">
        <v>207</v>
      </c>
      <c r="S484" s="166" t="str">
        <f>MID(PAA[[#This Row],[Meta Proyecto de Inversión]],1,4)</f>
        <v>8126</v>
      </c>
      <c r="T484" s="166" t="str">
        <f>MID(PAA[[#This Row],[Meta Proyecto de Inversión]],6,2)</f>
        <v>8-</v>
      </c>
      <c r="U484" s="167" t="str">
        <f>IFERROR(VLOOKUP(N484,TD!$B$54:$F$58,2,0)," ")</f>
        <v>O230117</v>
      </c>
      <c r="V484" s="167" t="str">
        <f>IFERROR(VLOOKUP(N484,TD!$B$54:$F$58,3,0)," ")</f>
        <v>4599</v>
      </c>
      <c r="W484" s="167">
        <f>IFERROR(VLOOKUP(N484,TD!$B$54:$F$58,4,0)," ")</f>
        <v>20240207</v>
      </c>
      <c r="X484" s="166" t="s">
        <v>174</v>
      </c>
      <c r="Y484" s="167" t="str">
        <f>IFERROR(VLOOKUP(X484,TD!$J$55:$K$68,2,0)," ")</f>
        <v>Infraestructura física, mantenimiento y dotación (Sedes construidas, mantenidas reforzadas)</v>
      </c>
      <c r="Z484" s="168" t="str">
        <f>CONCATENATE(X484,"-",Y484)</f>
        <v>08-Infraestructura física, mantenimiento y dotación (Sedes construidas, mantenidas reforzadas)</v>
      </c>
      <c r="AA484" s="166" t="s">
        <v>227</v>
      </c>
      <c r="AB484" s="167" t="str">
        <f>IFERROR(VLOOKUP(AA484,TD!$N$55:$O$70,2,0)," ")</f>
        <v>Sedes mantenidas</v>
      </c>
      <c r="AC484" s="168" t="str">
        <f>CONCATENATE(AA484,"_",AB484)</f>
        <v>016_Sedes mantenidas</v>
      </c>
      <c r="AD484" s="168" t="str">
        <f>CONCATENATE(Z484," ",AC484)</f>
        <v>08-Infraestructura física, mantenimiento y dotación (Sedes construidas, mantenidas reforzadas) 016_Sedes mantenidas</v>
      </c>
      <c r="AE484" s="167" t="str">
        <f>CONCATENATE(U484,V484,W484,X484,AA484)</f>
        <v>O23011745992024020708016</v>
      </c>
      <c r="AF484" s="167" t="str">
        <f>IFERROR(VLOOKUP(AD484,TD!$J$70:$K$93,2,0)," ")</f>
        <v>PM/0131/0108/45990160207</v>
      </c>
      <c r="AG484" s="114" t="s">
        <v>385</v>
      </c>
      <c r="AH484" s="166" t="s">
        <v>193</v>
      </c>
      <c r="AI484" s="169" t="str">
        <f>CONCATENATE(PAA[[#This Row],[Id Interno]],"-",PAA[[#This Row],[tipo de Contrato (TH talento humano - B/S bienes y/o servicios)]],"-",S484,"-",T484,"-",PAA[[#This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85" spans="2:35" ht="70" x14ac:dyDescent="0.35">
      <c r="B485" s="23">
        <v>20260458</v>
      </c>
      <c r="C485" s="97" t="s">
        <v>672</v>
      </c>
      <c r="D485" s="23" t="s">
        <v>105</v>
      </c>
      <c r="E485" s="23" t="s">
        <v>363</v>
      </c>
      <c r="F485" s="163" t="s">
        <v>144</v>
      </c>
      <c r="G485" s="164" t="s">
        <v>373</v>
      </c>
      <c r="H485" s="165">
        <v>11</v>
      </c>
      <c r="I485" s="165">
        <v>0</v>
      </c>
      <c r="J485" s="122">
        <v>101725045</v>
      </c>
      <c r="K485" s="88" t="s">
        <v>398</v>
      </c>
      <c r="L485" s="163" t="s">
        <v>155</v>
      </c>
      <c r="M485" s="166" t="s">
        <v>422</v>
      </c>
      <c r="N485" s="23" t="s">
        <v>197</v>
      </c>
      <c r="O485" s="144" t="s">
        <v>886</v>
      </c>
      <c r="P485" s="163" t="s">
        <v>348</v>
      </c>
      <c r="Q485" s="53" t="s">
        <v>725</v>
      </c>
      <c r="R485" s="166" t="s">
        <v>208</v>
      </c>
      <c r="S485" s="166" t="str">
        <f>MID(PAA[[#This Row],[Meta Proyecto de Inversión]],1,4)</f>
        <v>8126</v>
      </c>
      <c r="T485" s="166" t="str">
        <f>MID(PAA[[#This Row],[Meta Proyecto de Inversión]],6,2)</f>
        <v>9-</v>
      </c>
      <c r="U485" s="167" t="str">
        <f>IFERROR(VLOOKUP(N485,TD!$B$54:$F$58,2,0)," ")</f>
        <v>O230117</v>
      </c>
      <c r="V485" s="167" t="str">
        <f>IFERROR(VLOOKUP(N485,TD!$B$54:$F$58,3,0)," ")</f>
        <v>4599</v>
      </c>
      <c r="W485" s="167">
        <f>IFERROR(VLOOKUP(N485,TD!$B$54:$F$58,4,0)," ")</f>
        <v>20240207</v>
      </c>
      <c r="X485" s="166" t="s">
        <v>174</v>
      </c>
      <c r="Y485" s="167" t="str">
        <f>IFERROR(VLOOKUP(X485,TD!$J$55:$K$68,2,0)," ")</f>
        <v>Infraestructura física, mantenimiento y dotación (Sedes construidas, mantenidas reforzadas)</v>
      </c>
      <c r="Z485" s="168" t="str">
        <f>CONCATENATE(X485,"-",Y485)</f>
        <v>08-Infraestructura física, mantenimiento y dotación (Sedes construidas, mantenidas reforzadas)</v>
      </c>
      <c r="AA485" s="166" t="s">
        <v>227</v>
      </c>
      <c r="AB485" s="167" t="str">
        <f>IFERROR(VLOOKUP(AA485,TD!$N$55:$O$70,2,0)," ")</f>
        <v>Sedes mantenidas</v>
      </c>
      <c r="AC485" s="168" t="str">
        <f>CONCATENATE(AA485,"_",AB485)</f>
        <v>016_Sedes mantenidas</v>
      </c>
      <c r="AD485" s="168" t="str">
        <f>CONCATENATE(Z485," ",AC485)</f>
        <v>08-Infraestructura física, mantenimiento y dotación (Sedes construidas, mantenidas reforzadas) 016_Sedes mantenidas</v>
      </c>
      <c r="AE485" s="167" t="str">
        <f>CONCATENATE(U485,V485,W485,X485,AA485)</f>
        <v>O23011745992024020708016</v>
      </c>
      <c r="AF485" s="167" t="str">
        <f>IFERROR(VLOOKUP(AD485,TD!$J$70:$K$93,2,0)," ")</f>
        <v>PM/0131/0108/45990160207</v>
      </c>
      <c r="AG485" s="114" t="s">
        <v>385</v>
      </c>
      <c r="AH485" s="175" t="s">
        <v>193</v>
      </c>
      <c r="AI485" s="169" t="str">
        <f>CONCATENATE(PAA[[#This Row],[Id Interno]],"-",PAA[[#This Row],[tipo de Contrato (TH talento humano - B/S bienes y/o servicios)]],"-",S485,"-",T485,"-",PAA[[#This Row],[Objeto de la contratación]])</f>
        <v>20260458-TH-8126-9--Prestación de servicios profesionales especializados para articular y revisar los procesos y procedimientos de la gestión administrativa a cargo de la Subdirección de Gestión Corporativa.- SGC</v>
      </c>
    </row>
    <row r="486" spans="2:35" ht="56" x14ac:dyDescent="0.35">
      <c r="B486" s="23">
        <v>20260459</v>
      </c>
      <c r="C486" s="97" t="s">
        <v>673</v>
      </c>
      <c r="D486" s="23" t="s">
        <v>105</v>
      </c>
      <c r="E486" s="23" t="s">
        <v>363</v>
      </c>
      <c r="F486" s="163" t="s">
        <v>144</v>
      </c>
      <c r="G486" s="164" t="s">
        <v>373</v>
      </c>
      <c r="H486" s="165">
        <v>10</v>
      </c>
      <c r="I486" s="165">
        <v>0</v>
      </c>
      <c r="J486" s="122">
        <v>73729810</v>
      </c>
      <c r="K486" s="88" t="s">
        <v>398</v>
      </c>
      <c r="L486" s="163" t="s">
        <v>155</v>
      </c>
      <c r="M486" s="166" t="s">
        <v>422</v>
      </c>
      <c r="N486" s="23" t="s">
        <v>197</v>
      </c>
      <c r="O486" s="144" t="s">
        <v>886</v>
      </c>
      <c r="P486" s="163" t="s">
        <v>348</v>
      </c>
      <c r="Q486" s="53" t="s">
        <v>725</v>
      </c>
      <c r="R486" s="166" t="s">
        <v>208</v>
      </c>
      <c r="S486" s="166" t="str">
        <f>MID(PAA[[#This Row],[Meta Proyecto de Inversión]],1,4)</f>
        <v>8126</v>
      </c>
      <c r="T486" s="166" t="str">
        <f>MID(PAA[[#This Row],[Meta Proyecto de Inversión]],6,2)</f>
        <v>9-</v>
      </c>
      <c r="U486" s="167" t="str">
        <f>IFERROR(VLOOKUP(N486,TD!$B$54:$F$58,2,0)," ")</f>
        <v>O230117</v>
      </c>
      <c r="V486" s="167" t="str">
        <f>IFERROR(VLOOKUP(N486,TD!$B$54:$F$58,3,0)," ")</f>
        <v>4599</v>
      </c>
      <c r="W486" s="167">
        <f>IFERROR(VLOOKUP(N486,TD!$B$54:$F$58,4,0)," ")</f>
        <v>20240207</v>
      </c>
      <c r="X486" s="166" t="s">
        <v>174</v>
      </c>
      <c r="Y486" s="167" t="str">
        <f>IFERROR(VLOOKUP(X486,TD!$J$55:$K$68,2,0)," ")</f>
        <v>Infraestructura física, mantenimiento y dotación (Sedes construidas, mantenidas reforzadas)</v>
      </c>
      <c r="Z486" s="168" t="str">
        <f>CONCATENATE(X486,"-",Y486)</f>
        <v>08-Infraestructura física, mantenimiento y dotación (Sedes construidas, mantenidas reforzadas)</v>
      </c>
      <c r="AA486" s="166" t="s">
        <v>227</v>
      </c>
      <c r="AB486" s="167" t="str">
        <f>IFERROR(VLOOKUP(AA486,TD!$N$55:$O$70,2,0)," ")</f>
        <v>Sedes mantenidas</v>
      </c>
      <c r="AC486" s="168" t="str">
        <f>CONCATENATE(AA486,"_",AB486)</f>
        <v>016_Sedes mantenidas</v>
      </c>
      <c r="AD486" s="168" t="str">
        <f>CONCATENATE(Z486," ",AC486)</f>
        <v>08-Infraestructura física, mantenimiento y dotación (Sedes construidas, mantenidas reforzadas) 016_Sedes mantenidas</v>
      </c>
      <c r="AE486" s="167" t="str">
        <f>CONCATENATE(U486,V486,W486,X486,AA486)</f>
        <v>O23011745992024020708016</v>
      </c>
      <c r="AF486" s="167" t="str">
        <f>IFERROR(VLOOKUP(AD486,TD!$J$70:$K$93,2,0)," ")</f>
        <v>PM/0131/0108/45990160207</v>
      </c>
      <c r="AG486" s="114" t="s">
        <v>385</v>
      </c>
      <c r="AH486" s="175" t="s">
        <v>193</v>
      </c>
      <c r="AI486" s="169" t="str">
        <f>CONCATENATE(PAA[[#This Row],[Id Interno]],"-",PAA[[#This Row],[tipo de Contrato (TH talento humano - B/S bienes y/o servicios)]],"-",S486,"-",T486,"-",PAA[[#This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87" spans="2:35" ht="70" x14ac:dyDescent="0.35">
      <c r="B487" s="23">
        <v>20260460</v>
      </c>
      <c r="C487" s="97" t="s">
        <v>674</v>
      </c>
      <c r="D487" s="23" t="s">
        <v>105</v>
      </c>
      <c r="E487" s="23" t="s">
        <v>363</v>
      </c>
      <c r="F487" s="163" t="s">
        <v>144</v>
      </c>
      <c r="G487" s="164" t="s">
        <v>373</v>
      </c>
      <c r="H487" s="165">
        <v>11</v>
      </c>
      <c r="I487" s="165">
        <v>0</v>
      </c>
      <c r="J487" s="122">
        <v>101725045</v>
      </c>
      <c r="K487" s="88" t="s">
        <v>398</v>
      </c>
      <c r="L487" s="163" t="s">
        <v>155</v>
      </c>
      <c r="M487" s="166" t="s">
        <v>422</v>
      </c>
      <c r="N487" s="23" t="s">
        <v>197</v>
      </c>
      <c r="O487" s="144" t="s">
        <v>886</v>
      </c>
      <c r="P487" s="163" t="s">
        <v>348</v>
      </c>
      <c r="Q487" s="53" t="s">
        <v>725</v>
      </c>
      <c r="R487" s="166" t="s">
        <v>208</v>
      </c>
      <c r="S487" s="166" t="str">
        <f>MID(PAA[[#This Row],[Meta Proyecto de Inversión]],1,4)</f>
        <v>8126</v>
      </c>
      <c r="T487" s="166" t="str">
        <f>MID(PAA[[#This Row],[Meta Proyecto de Inversión]],6,2)</f>
        <v>9-</v>
      </c>
      <c r="U487" s="167" t="str">
        <f>IFERROR(VLOOKUP(N487,TD!$B$54:$F$58,2,0)," ")</f>
        <v>O230117</v>
      </c>
      <c r="V487" s="167" t="str">
        <f>IFERROR(VLOOKUP(N487,TD!$B$54:$F$58,3,0)," ")</f>
        <v>4599</v>
      </c>
      <c r="W487" s="167">
        <f>IFERROR(VLOOKUP(N487,TD!$B$54:$F$58,4,0)," ")</f>
        <v>20240207</v>
      </c>
      <c r="X487" s="166" t="s">
        <v>174</v>
      </c>
      <c r="Y487" s="167" t="str">
        <f>IFERROR(VLOOKUP(X487,TD!$J$55:$K$68,2,0)," ")</f>
        <v>Infraestructura física, mantenimiento y dotación (Sedes construidas, mantenidas reforzadas)</v>
      </c>
      <c r="Z487" s="168" t="str">
        <f>CONCATENATE(X487,"-",Y487)</f>
        <v>08-Infraestructura física, mantenimiento y dotación (Sedes construidas, mantenidas reforzadas)</v>
      </c>
      <c r="AA487" s="166" t="s">
        <v>227</v>
      </c>
      <c r="AB487" s="167" t="str">
        <f>IFERROR(VLOOKUP(AA487,TD!$N$55:$O$70,2,0)," ")</f>
        <v>Sedes mantenidas</v>
      </c>
      <c r="AC487" s="168" t="str">
        <f>CONCATENATE(AA487,"_",AB487)</f>
        <v>016_Sedes mantenidas</v>
      </c>
      <c r="AD487" s="168" t="str">
        <f>CONCATENATE(Z487," ",AC487)</f>
        <v>08-Infraestructura física, mantenimiento y dotación (Sedes construidas, mantenidas reforzadas) 016_Sedes mantenidas</v>
      </c>
      <c r="AE487" s="167" t="str">
        <f>CONCATENATE(U487,V487,W487,X487,AA487)</f>
        <v>O23011745992024020708016</v>
      </c>
      <c r="AF487" s="167" t="str">
        <f>IFERROR(VLOOKUP(AD487,TD!$J$70:$K$93,2,0)," ")</f>
        <v>PM/0131/0108/45990160207</v>
      </c>
      <c r="AG487" s="114" t="s">
        <v>385</v>
      </c>
      <c r="AH487" s="175" t="s">
        <v>193</v>
      </c>
      <c r="AI487" s="169" t="str">
        <f>CONCATENATE(PAA[[#This Row],[Id Interno]],"-",PAA[[#This Row],[tipo de Contrato (TH talento humano - B/S bienes y/o servicios)]],"-",S487,"-",T487,"-",PAA[[#This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88" spans="2:35" ht="70" x14ac:dyDescent="0.35">
      <c r="B488" s="23">
        <v>20260461</v>
      </c>
      <c r="C488" s="97" t="s">
        <v>675</v>
      </c>
      <c r="D488" s="23" t="s">
        <v>105</v>
      </c>
      <c r="E488" s="23" t="s">
        <v>363</v>
      </c>
      <c r="F488" s="163" t="s">
        <v>145</v>
      </c>
      <c r="G488" s="164" t="s">
        <v>373</v>
      </c>
      <c r="H488" s="165">
        <v>10</v>
      </c>
      <c r="I488" s="165">
        <v>0</v>
      </c>
      <c r="J488" s="122">
        <v>42754359</v>
      </c>
      <c r="K488" s="88" t="s">
        <v>398</v>
      </c>
      <c r="L488" s="163" t="s">
        <v>155</v>
      </c>
      <c r="M488" s="166" t="s">
        <v>422</v>
      </c>
      <c r="N488" s="23" t="s">
        <v>197</v>
      </c>
      <c r="O488" s="144" t="s">
        <v>886</v>
      </c>
      <c r="P488" s="163" t="s">
        <v>348</v>
      </c>
      <c r="Q488" s="53" t="s">
        <v>725</v>
      </c>
      <c r="R488" s="166" t="s">
        <v>208</v>
      </c>
      <c r="S488" s="166" t="str">
        <f>MID(PAA[[#This Row],[Meta Proyecto de Inversión]],1,4)</f>
        <v>8126</v>
      </c>
      <c r="T488" s="166" t="str">
        <f>MID(PAA[[#This Row],[Meta Proyecto de Inversión]],6,2)</f>
        <v>9-</v>
      </c>
      <c r="U488" s="167" t="str">
        <f>IFERROR(VLOOKUP(N488,TD!$B$54:$F$58,2,0)," ")</f>
        <v>O230117</v>
      </c>
      <c r="V488" s="167" t="str">
        <f>IFERROR(VLOOKUP(N488,TD!$B$54:$F$58,3,0)," ")</f>
        <v>4599</v>
      </c>
      <c r="W488" s="167">
        <f>IFERROR(VLOOKUP(N488,TD!$B$54:$F$58,4,0)," ")</f>
        <v>20240207</v>
      </c>
      <c r="X488" s="166" t="s">
        <v>174</v>
      </c>
      <c r="Y488" s="167" t="str">
        <f>IFERROR(VLOOKUP(X488,TD!$J$55:$K$68,2,0)," ")</f>
        <v>Infraestructura física, mantenimiento y dotación (Sedes construidas, mantenidas reforzadas)</v>
      </c>
      <c r="Z488" s="168" t="str">
        <f>CONCATENATE(X488,"-",Y488)</f>
        <v>08-Infraestructura física, mantenimiento y dotación (Sedes construidas, mantenidas reforzadas)</v>
      </c>
      <c r="AA488" s="166" t="s">
        <v>227</v>
      </c>
      <c r="AB488" s="167" t="str">
        <f>IFERROR(VLOOKUP(AA488,TD!$N$55:$O$70,2,0)," ")</f>
        <v>Sedes mantenidas</v>
      </c>
      <c r="AC488" s="168" t="str">
        <f>CONCATENATE(AA488,"_",AB488)</f>
        <v>016_Sedes mantenidas</v>
      </c>
      <c r="AD488" s="168" t="str">
        <f>CONCATENATE(Z488," ",AC488)</f>
        <v>08-Infraestructura física, mantenimiento y dotación (Sedes construidas, mantenidas reforzadas) 016_Sedes mantenidas</v>
      </c>
      <c r="AE488" s="167" t="str">
        <f>CONCATENATE(U488,V488,W488,X488,AA488)</f>
        <v>O23011745992024020708016</v>
      </c>
      <c r="AF488" s="167" t="str">
        <f>IFERROR(VLOOKUP(AD488,TD!$J$70:$K$93,2,0)," ")</f>
        <v>PM/0131/0108/45990160207</v>
      </c>
      <c r="AG488" s="114" t="s">
        <v>385</v>
      </c>
      <c r="AH488" s="175" t="s">
        <v>193</v>
      </c>
      <c r="AI488" s="169" t="str">
        <f>CONCATENATE(PAA[[#This Row],[Id Interno]],"-",PAA[[#This Row],[tipo de Contrato (TH talento humano - B/S bienes y/o servicios)]],"-",S488,"-",T488,"-",PAA[[#This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89" spans="2:35" ht="70" x14ac:dyDescent="0.35">
      <c r="B489" s="23">
        <v>20260462</v>
      </c>
      <c r="C489" s="97" t="s">
        <v>676</v>
      </c>
      <c r="D489" s="23" t="s">
        <v>105</v>
      </c>
      <c r="E489" s="23" t="s">
        <v>363</v>
      </c>
      <c r="F489" s="163" t="s">
        <v>144</v>
      </c>
      <c r="G489" s="164" t="s">
        <v>373</v>
      </c>
      <c r="H489" s="165">
        <v>11</v>
      </c>
      <c r="I489" s="165">
        <v>0</v>
      </c>
      <c r="J489" s="122">
        <v>99968690</v>
      </c>
      <c r="K489" s="88" t="s">
        <v>398</v>
      </c>
      <c r="L489" s="163" t="s">
        <v>155</v>
      </c>
      <c r="M489" s="166" t="s">
        <v>422</v>
      </c>
      <c r="N489" s="23" t="s">
        <v>198</v>
      </c>
      <c r="O489" s="144" t="s">
        <v>887</v>
      </c>
      <c r="P489" s="163" t="s">
        <v>348</v>
      </c>
      <c r="Q489" s="53" t="s">
        <v>725</v>
      </c>
      <c r="R489" s="166" t="s">
        <v>217</v>
      </c>
      <c r="S489" s="166" t="str">
        <f>MID(PAA[[#This Row],[Meta Proyecto de Inversión]],1,4)</f>
        <v>8173</v>
      </c>
      <c r="T489" s="166" t="str">
        <f>MID(PAA[[#This Row],[Meta Proyecto de Inversión]],6,2)</f>
        <v>8-</v>
      </c>
      <c r="U489" s="167" t="str">
        <f>IFERROR(VLOOKUP(N489,TD!$B$54:$F$58,2,0)," ")</f>
        <v>O230117</v>
      </c>
      <c r="V489" s="167" t="str">
        <f>IFERROR(VLOOKUP(N489,TD!$B$54:$F$58,3,0)," ")</f>
        <v>4503</v>
      </c>
      <c r="W489" s="167">
        <f>IFERROR(VLOOKUP(N489,TD!$B$54:$F$58,4,0)," ")</f>
        <v>20240255</v>
      </c>
      <c r="X489" s="166">
        <v>14</v>
      </c>
      <c r="Y489" s="167" t="str">
        <f>IFERROR(VLOOKUP(X489,TD!$J$55:$K$68,2,0)," ")</f>
        <v xml:space="preserve">Infraestructura física misional construida mantenida y dotada </v>
      </c>
      <c r="Z489" s="168" t="str">
        <f>CONCATENATE(X489,"-",Y489)</f>
        <v xml:space="preserve">14-Infraestructura física misional construida mantenida y dotada </v>
      </c>
      <c r="AA489" s="166" t="s">
        <v>226</v>
      </c>
      <c r="AB489" s="167" t="str">
        <f>IFERROR(VLOOKUP(AA489,TD!$N$55:$O$70,2,0)," ")</f>
        <v>Estaciones de bomberos construidas</v>
      </c>
      <c r="AC489" s="168" t="str">
        <f>CONCATENATE(AA489,"_",AB489)</f>
        <v>015_Estaciones de bomberos construidas</v>
      </c>
      <c r="AD489" s="168" t="str">
        <f>CONCATENATE(Z489," ",AC489)</f>
        <v>14-Infraestructura física misional construida mantenida y dotada  015_Estaciones de bomberos construidas</v>
      </c>
      <c r="AE489" s="167" t="str">
        <f>CONCATENATE(U489,V489,W489,X489,AA489)</f>
        <v>O23011745032024025514015</v>
      </c>
      <c r="AF489" s="167" t="str">
        <f>IFERROR(VLOOKUP(AD489,TD!$J$70:$K$93,2,0)," ")</f>
        <v>PM/0131/0114/45030150255</v>
      </c>
      <c r="AG489" s="114" t="s">
        <v>385</v>
      </c>
      <c r="AH489" s="175" t="s">
        <v>193</v>
      </c>
      <c r="AI489" s="169" t="str">
        <f>CONCATENATE(PAA[[#This Row],[Id Interno]],"-",PAA[[#This Row],[tipo de Contrato (TH talento humano - B/S bienes y/o servicios)]],"-",S489,"-",T489,"-",PAA[[#This Row],[Objeto de la contratación]])</f>
        <v>20260462-TH-8173-8--Prestación de servicios profesionales especializados para apoyar las actividades técnicas y gestión predial del Área de Infraestructura de la Subdirección de Gestión Corporativa-SGC</v>
      </c>
    </row>
    <row r="490" spans="2:35" ht="56" x14ac:dyDescent="0.35">
      <c r="B490" s="23">
        <v>20260463</v>
      </c>
      <c r="C490" s="97" t="s">
        <v>677</v>
      </c>
      <c r="D490" s="23" t="s">
        <v>105</v>
      </c>
      <c r="E490" s="23" t="s">
        <v>363</v>
      </c>
      <c r="F490" s="163" t="s">
        <v>145</v>
      </c>
      <c r="G490" s="164" t="s">
        <v>373</v>
      </c>
      <c r="H490" s="165">
        <v>11</v>
      </c>
      <c r="I490" s="165">
        <v>0</v>
      </c>
      <c r="J490" s="122">
        <v>36127608</v>
      </c>
      <c r="K490" s="88" t="s">
        <v>398</v>
      </c>
      <c r="L490" s="163" t="s">
        <v>155</v>
      </c>
      <c r="M490" s="166" t="s">
        <v>422</v>
      </c>
      <c r="N490" s="23" t="s">
        <v>197</v>
      </c>
      <c r="O490" s="144" t="s">
        <v>886</v>
      </c>
      <c r="P490" s="163" t="s">
        <v>348</v>
      </c>
      <c r="Q490" s="53" t="s">
        <v>725</v>
      </c>
      <c r="R490" s="166" t="s">
        <v>208</v>
      </c>
      <c r="S490" s="166" t="str">
        <f>MID(PAA[[#This Row],[Meta Proyecto de Inversión]],1,4)</f>
        <v>8126</v>
      </c>
      <c r="T490" s="166" t="str">
        <f>MID(PAA[[#This Row],[Meta Proyecto de Inversión]],6,2)</f>
        <v>9-</v>
      </c>
      <c r="U490" s="167" t="str">
        <f>IFERROR(VLOOKUP(N490,TD!$B$54:$F$58,2,0)," ")</f>
        <v>O230117</v>
      </c>
      <c r="V490" s="167" t="str">
        <f>IFERROR(VLOOKUP(N490,TD!$B$54:$F$58,3,0)," ")</f>
        <v>4599</v>
      </c>
      <c r="W490" s="167">
        <f>IFERROR(VLOOKUP(N490,TD!$B$54:$F$58,4,0)," ")</f>
        <v>20240207</v>
      </c>
      <c r="X490" s="166" t="s">
        <v>174</v>
      </c>
      <c r="Y490" s="167" t="str">
        <f>IFERROR(VLOOKUP(X490,TD!$J$55:$K$68,2,0)," ")</f>
        <v>Infraestructura física, mantenimiento y dotación (Sedes construidas, mantenidas reforzadas)</v>
      </c>
      <c r="Z490" s="168" t="str">
        <f>CONCATENATE(X490,"-",Y490)</f>
        <v>08-Infraestructura física, mantenimiento y dotación (Sedes construidas, mantenidas reforzadas)</v>
      </c>
      <c r="AA490" s="166" t="s">
        <v>227</v>
      </c>
      <c r="AB490" s="167" t="str">
        <f>IFERROR(VLOOKUP(AA490,TD!$N$55:$O$70,2,0)," ")</f>
        <v>Sedes mantenidas</v>
      </c>
      <c r="AC490" s="168" t="str">
        <f>CONCATENATE(AA490,"_",AB490)</f>
        <v>016_Sedes mantenidas</v>
      </c>
      <c r="AD490" s="168" t="str">
        <f>CONCATENATE(Z490," ",AC490)</f>
        <v>08-Infraestructura física, mantenimiento y dotación (Sedes construidas, mantenidas reforzadas) 016_Sedes mantenidas</v>
      </c>
      <c r="AE490" s="167" t="str">
        <f>CONCATENATE(U490,V490,W490,X490,AA490)</f>
        <v>O23011745992024020708016</v>
      </c>
      <c r="AF490" s="167" t="str">
        <f>IFERROR(VLOOKUP(AD490,TD!$J$70:$K$93,2,0)," ")</f>
        <v>PM/0131/0108/45990160207</v>
      </c>
      <c r="AG490" s="114" t="s">
        <v>385</v>
      </c>
      <c r="AH490" s="175" t="s">
        <v>193</v>
      </c>
      <c r="AI490" s="169" t="str">
        <f>CONCATENATE(PAA[[#This Row],[Id Interno]],"-",PAA[[#This Row],[tipo de Contrato (TH talento humano - B/S bienes y/o servicios)]],"-",S490,"-",T490,"-",PAA[[#This Row],[Objeto de la contratación]])</f>
        <v>20260463-TH-8126-9--Prestación de servicios de apoyo en las actividades asociadas a los procesos de almacén de la Subdirección de Gestión Corporativa SGC</v>
      </c>
    </row>
    <row r="491" spans="2:35" ht="42" x14ac:dyDescent="0.35">
      <c r="B491" s="23">
        <v>20260464</v>
      </c>
      <c r="C491" s="97" t="s">
        <v>678</v>
      </c>
      <c r="D491" s="23" t="s">
        <v>105</v>
      </c>
      <c r="E491" s="23" t="s">
        <v>363</v>
      </c>
      <c r="F491" s="163" t="s">
        <v>144</v>
      </c>
      <c r="G491" s="164" t="s">
        <v>373</v>
      </c>
      <c r="H491" s="165">
        <v>10</v>
      </c>
      <c r="I491" s="165">
        <v>0</v>
      </c>
      <c r="J491" s="122">
        <v>60123309</v>
      </c>
      <c r="K491" s="88" t="s">
        <v>398</v>
      </c>
      <c r="L491" s="163" t="s">
        <v>155</v>
      </c>
      <c r="M491" s="166" t="s">
        <v>422</v>
      </c>
      <c r="N491" s="23" t="s">
        <v>197</v>
      </c>
      <c r="O491" s="144" t="s">
        <v>886</v>
      </c>
      <c r="P491" s="163" t="s">
        <v>348</v>
      </c>
      <c r="Q491" s="53" t="s">
        <v>725</v>
      </c>
      <c r="R491" s="166" t="s">
        <v>208</v>
      </c>
      <c r="S491" s="166" t="str">
        <f>MID(PAA[[#This Row],[Meta Proyecto de Inversión]],1,4)</f>
        <v>8126</v>
      </c>
      <c r="T491" s="166" t="str">
        <f>MID(PAA[[#This Row],[Meta Proyecto de Inversión]],6,2)</f>
        <v>9-</v>
      </c>
      <c r="U491" s="167" t="str">
        <f>IFERROR(VLOOKUP(N491,TD!$B$54:$F$58,2,0)," ")</f>
        <v>O230117</v>
      </c>
      <c r="V491" s="167" t="str">
        <f>IFERROR(VLOOKUP(N491,TD!$B$54:$F$58,3,0)," ")</f>
        <v>4599</v>
      </c>
      <c r="W491" s="167">
        <f>IFERROR(VLOOKUP(N491,TD!$B$54:$F$58,4,0)," ")</f>
        <v>20240207</v>
      </c>
      <c r="X491" s="166" t="s">
        <v>174</v>
      </c>
      <c r="Y491" s="167" t="str">
        <f>IFERROR(VLOOKUP(X491,TD!$J$55:$K$68,2,0)," ")</f>
        <v>Infraestructura física, mantenimiento y dotación (Sedes construidas, mantenidas reforzadas)</v>
      </c>
      <c r="Z491" s="168" t="str">
        <f>CONCATENATE(X491,"-",Y491)</f>
        <v>08-Infraestructura física, mantenimiento y dotación (Sedes construidas, mantenidas reforzadas)</v>
      </c>
      <c r="AA491" s="166" t="s">
        <v>227</v>
      </c>
      <c r="AB491" s="167" t="str">
        <f>IFERROR(VLOOKUP(AA491,TD!$N$55:$O$70,2,0)," ")</f>
        <v>Sedes mantenidas</v>
      </c>
      <c r="AC491" s="168" t="str">
        <f>CONCATENATE(AA491,"_",AB491)</f>
        <v>016_Sedes mantenidas</v>
      </c>
      <c r="AD491" s="168" t="str">
        <f>CONCATENATE(Z491," ",AC491)</f>
        <v>08-Infraestructura física, mantenimiento y dotación (Sedes construidas, mantenidas reforzadas) 016_Sedes mantenidas</v>
      </c>
      <c r="AE491" s="167" t="str">
        <f>CONCATENATE(U491,V491,W491,X491,AA491)</f>
        <v>O23011745992024020708016</v>
      </c>
      <c r="AF491" s="167" t="str">
        <f>IFERROR(VLOOKUP(AD491,TD!$J$70:$K$93,2,0)," ")</f>
        <v>PM/0131/0108/45990160207</v>
      </c>
      <c r="AG491" s="114" t="s">
        <v>385</v>
      </c>
      <c r="AH491" s="175" t="s">
        <v>193</v>
      </c>
      <c r="AI491" s="169" t="str">
        <f>CONCATENATE(PAA[[#This Row],[Id Interno]],"-",PAA[[#This Row],[tipo de Contrato (TH talento humano - B/S bienes y/o servicios)]],"-",S491,"-",T491,"-",PAA[[#This Row],[Objeto de la contratación]])</f>
        <v>20260464-TH-8126-9--Prestación de servicios profesionales para atender las actividades financieras, a cargo de la Subdirección de Gestión Corporativa-SGC</v>
      </c>
    </row>
    <row r="492" spans="2:35" ht="42" x14ac:dyDescent="0.35">
      <c r="B492" s="23">
        <v>20260465</v>
      </c>
      <c r="C492" s="97" t="s">
        <v>679</v>
      </c>
      <c r="D492" s="23" t="s">
        <v>105</v>
      </c>
      <c r="E492" s="23" t="s">
        <v>363</v>
      </c>
      <c r="F492" s="163" t="s">
        <v>145</v>
      </c>
      <c r="G492" s="164" t="s">
        <v>373</v>
      </c>
      <c r="H492" s="165">
        <v>11</v>
      </c>
      <c r="I492" s="165">
        <v>0</v>
      </c>
      <c r="J492" s="122">
        <v>47044094</v>
      </c>
      <c r="K492" s="88" t="s">
        <v>398</v>
      </c>
      <c r="L492" s="163" t="s">
        <v>155</v>
      </c>
      <c r="M492" s="166" t="s">
        <v>422</v>
      </c>
      <c r="N492" s="23" t="s">
        <v>197</v>
      </c>
      <c r="O492" s="144" t="s">
        <v>886</v>
      </c>
      <c r="P492" s="163" t="s">
        <v>348</v>
      </c>
      <c r="Q492" s="53" t="s">
        <v>725</v>
      </c>
      <c r="R492" s="166" t="s">
        <v>208</v>
      </c>
      <c r="S492" s="166" t="str">
        <f>MID(PAA[[#This Row],[Meta Proyecto de Inversión]],1,4)</f>
        <v>8126</v>
      </c>
      <c r="T492" s="166" t="str">
        <f>MID(PAA[[#This Row],[Meta Proyecto de Inversión]],6,2)</f>
        <v>9-</v>
      </c>
      <c r="U492" s="167" t="str">
        <f>IFERROR(VLOOKUP(N492,TD!$B$54:$F$58,2,0)," ")</f>
        <v>O230117</v>
      </c>
      <c r="V492" s="167" t="str">
        <f>IFERROR(VLOOKUP(N492,TD!$B$54:$F$58,3,0)," ")</f>
        <v>4599</v>
      </c>
      <c r="W492" s="167">
        <f>IFERROR(VLOOKUP(N492,TD!$B$54:$F$58,4,0)," ")</f>
        <v>20240207</v>
      </c>
      <c r="X492" s="166" t="s">
        <v>174</v>
      </c>
      <c r="Y492" s="167" t="str">
        <f>IFERROR(VLOOKUP(X492,TD!$J$55:$K$68,2,0)," ")</f>
        <v>Infraestructura física, mantenimiento y dotación (Sedes construidas, mantenidas reforzadas)</v>
      </c>
      <c r="Z492" s="168" t="str">
        <f>CONCATENATE(X492,"-",Y492)</f>
        <v>08-Infraestructura física, mantenimiento y dotación (Sedes construidas, mantenidas reforzadas)</v>
      </c>
      <c r="AA492" s="166" t="s">
        <v>227</v>
      </c>
      <c r="AB492" s="167" t="str">
        <f>IFERROR(VLOOKUP(AA492,TD!$N$55:$O$70,2,0)," ")</f>
        <v>Sedes mantenidas</v>
      </c>
      <c r="AC492" s="168" t="str">
        <f>CONCATENATE(AA492,"_",AB492)</f>
        <v>016_Sedes mantenidas</v>
      </c>
      <c r="AD492" s="168" t="str">
        <f>CONCATENATE(Z492," ",AC492)</f>
        <v>08-Infraestructura física, mantenimiento y dotación (Sedes construidas, mantenidas reforzadas) 016_Sedes mantenidas</v>
      </c>
      <c r="AE492" s="167" t="str">
        <f>CONCATENATE(U492,V492,W492,X492,AA492)</f>
        <v>O23011745992024020708016</v>
      </c>
      <c r="AF492" s="167" t="str">
        <f>IFERROR(VLOOKUP(AD492,TD!$J$70:$K$93,2,0)," ")</f>
        <v>PM/0131/0108/45990160207</v>
      </c>
      <c r="AG492" s="114" t="s">
        <v>385</v>
      </c>
      <c r="AH492" s="166" t="s">
        <v>193</v>
      </c>
      <c r="AI492" s="169" t="str">
        <f>CONCATENATE(PAA[[#This Row],[Id Interno]],"-",PAA[[#This Row],[tipo de Contrato (TH talento humano - B/S bienes y/o servicios)]],"-",S492,"-",T492,"-",PAA[[#This Row],[Objeto de la contratación]])</f>
        <v>20260465-TH-8126-9--Prestación de servicios de apoyo a la gestión de los procesos contractuales en la plataforma SECOP II a cargo de la Subdirección de Gestión Corporativa-SGC</v>
      </c>
    </row>
    <row r="493" spans="2:35" ht="42" x14ac:dyDescent="0.35">
      <c r="B493" s="23">
        <v>20260466</v>
      </c>
      <c r="C493" s="97" t="s">
        <v>680</v>
      </c>
      <c r="D493" s="23" t="s">
        <v>105</v>
      </c>
      <c r="E493" s="23" t="s">
        <v>363</v>
      </c>
      <c r="F493" s="163" t="s">
        <v>144</v>
      </c>
      <c r="G493" s="164" t="s">
        <v>373</v>
      </c>
      <c r="H493" s="165">
        <v>10</v>
      </c>
      <c r="I493" s="165">
        <v>0</v>
      </c>
      <c r="J493" s="122">
        <v>73484044</v>
      </c>
      <c r="K493" s="88" t="s">
        <v>398</v>
      </c>
      <c r="L493" s="163" t="s">
        <v>155</v>
      </c>
      <c r="M493" s="166" t="s">
        <v>422</v>
      </c>
      <c r="N493" s="23" t="s">
        <v>197</v>
      </c>
      <c r="O493" s="144" t="s">
        <v>886</v>
      </c>
      <c r="P493" s="163" t="s">
        <v>348</v>
      </c>
      <c r="Q493" s="53" t="s">
        <v>725</v>
      </c>
      <c r="R493" s="166" t="s">
        <v>208</v>
      </c>
      <c r="S493" s="166" t="str">
        <f>MID(PAA[[#This Row],[Meta Proyecto de Inversión]],1,4)</f>
        <v>8126</v>
      </c>
      <c r="T493" s="166" t="str">
        <f>MID(PAA[[#This Row],[Meta Proyecto de Inversión]],6,2)</f>
        <v>9-</v>
      </c>
      <c r="U493" s="167" t="str">
        <f>IFERROR(VLOOKUP(N493,TD!$B$54:$F$58,2,0)," ")</f>
        <v>O230117</v>
      </c>
      <c r="V493" s="167" t="str">
        <f>IFERROR(VLOOKUP(N493,TD!$B$54:$F$58,3,0)," ")</f>
        <v>4599</v>
      </c>
      <c r="W493" s="167">
        <f>IFERROR(VLOOKUP(N493,TD!$B$54:$F$58,4,0)," ")</f>
        <v>20240207</v>
      </c>
      <c r="X493" s="166" t="s">
        <v>174</v>
      </c>
      <c r="Y493" s="167" t="str">
        <f>IFERROR(VLOOKUP(X493,TD!$J$55:$K$68,2,0)," ")</f>
        <v>Infraestructura física, mantenimiento y dotación (Sedes construidas, mantenidas reforzadas)</v>
      </c>
      <c r="Z493" s="168" t="str">
        <f>CONCATENATE(X493,"-",Y493)</f>
        <v>08-Infraestructura física, mantenimiento y dotación (Sedes construidas, mantenidas reforzadas)</v>
      </c>
      <c r="AA493" s="166" t="s">
        <v>227</v>
      </c>
      <c r="AB493" s="167" t="str">
        <f>IFERROR(VLOOKUP(AA493,TD!$N$55:$O$70,2,0)," ")</f>
        <v>Sedes mantenidas</v>
      </c>
      <c r="AC493" s="168" t="str">
        <f>CONCATENATE(AA493,"_",AB493)</f>
        <v>016_Sedes mantenidas</v>
      </c>
      <c r="AD493" s="168" t="str">
        <f>CONCATENATE(Z493," ",AC493)</f>
        <v>08-Infraestructura física, mantenimiento y dotación (Sedes construidas, mantenidas reforzadas) 016_Sedes mantenidas</v>
      </c>
      <c r="AE493" s="167" t="str">
        <f>CONCATENATE(U493,V493,W493,X493,AA493)</f>
        <v>O23011745992024020708016</v>
      </c>
      <c r="AF493" s="167" t="str">
        <f>IFERROR(VLOOKUP(AD493,TD!$J$70:$K$93,2,0)," ")</f>
        <v>PM/0131/0108/45990160207</v>
      </c>
      <c r="AG493" s="114" t="s">
        <v>385</v>
      </c>
      <c r="AH493" s="175" t="s">
        <v>193</v>
      </c>
      <c r="AI493" s="169" t="str">
        <f>CONCATENATE(PAA[[#This Row],[Id Interno]],"-",PAA[[#This Row],[tipo de Contrato (TH talento humano - B/S bienes y/o servicios)]],"-",S493,"-",T493,"-",PAA[[#This Row],[Objeto de la contratación]])</f>
        <v>20260466-TH-8126-9--Prestación de servicios profesionales en el marco de las actividades administrativas de la Subdirección de Gestión Corporativa--SGC</v>
      </c>
    </row>
    <row r="494" spans="2:35" ht="42" x14ac:dyDescent="0.35">
      <c r="B494" s="23">
        <v>20260467</v>
      </c>
      <c r="C494" s="97" t="s">
        <v>681</v>
      </c>
      <c r="D494" s="23" t="s">
        <v>105</v>
      </c>
      <c r="E494" s="23" t="s">
        <v>363</v>
      </c>
      <c r="F494" s="163" t="s">
        <v>144</v>
      </c>
      <c r="G494" s="164" t="s">
        <v>373</v>
      </c>
      <c r="H494" s="165">
        <v>11</v>
      </c>
      <c r="I494" s="165">
        <v>0</v>
      </c>
      <c r="J494" s="122">
        <v>56771957</v>
      </c>
      <c r="K494" s="88" t="s">
        <v>398</v>
      </c>
      <c r="L494" s="163" t="s">
        <v>155</v>
      </c>
      <c r="M494" s="166" t="s">
        <v>422</v>
      </c>
      <c r="N494" s="23" t="s">
        <v>197</v>
      </c>
      <c r="O494" s="144" t="s">
        <v>886</v>
      </c>
      <c r="P494" s="163" t="s">
        <v>348</v>
      </c>
      <c r="Q494" s="53" t="s">
        <v>725</v>
      </c>
      <c r="R494" s="166" t="s">
        <v>208</v>
      </c>
      <c r="S494" s="166" t="str">
        <f>MID(PAA[[#This Row],[Meta Proyecto de Inversión]],1,4)</f>
        <v>8126</v>
      </c>
      <c r="T494" s="166" t="str">
        <f>MID(PAA[[#This Row],[Meta Proyecto de Inversión]],6,2)</f>
        <v>9-</v>
      </c>
      <c r="U494" s="167" t="str">
        <f>IFERROR(VLOOKUP(N494,TD!$B$54:$F$58,2,0)," ")</f>
        <v>O230117</v>
      </c>
      <c r="V494" s="167" t="str">
        <f>IFERROR(VLOOKUP(N494,TD!$B$54:$F$58,3,0)," ")</f>
        <v>4599</v>
      </c>
      <c r="W494" s="167">
        <f>IFERROR(VLOOKUP(N494,TD!$B$54:$F$58,4,0)," ")</f>
        <v>20240207</v>
      </c>
      <c r="X494" s="166" t="s">
        <v>174</v>
      </c>
      <c r="Y494" s="167" t="str">
        <f>IFERROR(VLOOKUP(X494,TD!$J$55:$K$68,2,0)," ")</f>
        <v>Infraestructura física, mantenimiento y dotación (Sedes construidas, mantenidas reforzadas)</v>
      </c>
      <c r="Z494" s="168" t="str">
        <f>CONCATENATE(X494,"-",Y494)</f>
        <v>08-Infraestructura física, mantenimiento y dotación (Sedes construidas, mantenidas reforzadas)</v>
      </c>
      <c r="AA494" s="166" t="s">
        <v>227</v>
      </c>
      <c r="AB494" s="167" t="str">
        <f>IFERROR(VLOOKUP(AA494,TD!$N$55:$O$70,2,0)," ")</f>
        <v>Sedes mantenidas</v>
      </c>
      <c r="AC494" s="168" t="str">
        <f>CONCATENATE(AA494,"_",AB494)</f>
        <v>016_Sedes mantenidas</v>
      </c>
      <c r="AD494" s="168" t="str">
        <f>CONCATENATE(Z494," ",AC494)</f>
        <v>08-Infraestructura física, mantenimiento y dotación (Sedes construidas, mantenidas reforzadas) 016_Sedes mantenidas</v>
      </c>
      <c r="AE494" s="167" t="str">
        <f>CONCATENATE(U494,V494,W494,X494,AA494)</f>
        <v>O23011745992024020708016</v>
      </c>
      <c r="AF494" s="167" t="str">
        <f>IFERROR(VLOOKUP(AD494,TD!$J$70:$K$93,2,0)," ")</f>
        <v>PM/0131/0108/45990160207</v>
      </c>
      <c r="AG494" s="114" t="s">
        <v>385</v>
      </c>
      <c r="AH494" s="166" t="s">
        <v>193</v>
      </c>
      <c r="AI494" s="169" t="str">
        <f>CONCATENATE(PAA[[#This Row],[Id Interno]],"-",PAA[[#This Row],[tipo de Contrato (TH talento humano - B/S bienes y/o servicios)]],"-",S494,"-",T494,"-",PAA[[#This Row],[Objeto de la contratación]])</f>
        <v>20260467-TH-8126-9--Prestar los servicios profesionales de la gestión administrativa, así como la adquisición de bienes y servicios de la Subdirección de Gestión Corporativa  SGC</v>
      </c>
    </row>
    <row r="495" spans="2:35" ht="42" x14ac:dyDescent="0.35">
      <c r="B495" s="23">
        <v>20260468</v>
      </c>
      <c r="C495" s="97" t="s">
        <v>682</v>
      </c>
      <c r="D495" s="23" t="s">
        <v>105</v>
      </c>
      <c r="E495" s="23" t="s">
        <v>363</v>
      </c>
      <c r="F495" s="163" t="s">
        <v>144</v>
      </c>
      <c r="G495" s="164" t="s">
        <v>373</v>
      </c>
      <c r="H495" s="165">
        <v>11</v>
      </c>
      <c r="I495" s="165">
        <v>0</v>
      </c>
      <c r="J495" s="122">
        <v>74976512</v>
      </c>
      <c r="K495" s="88" t="s">
        <v>398</v>
      </c>
      <c r="L495" s="163" t="s">
        <v>155</v>
      </c>
      <c r="M495" s="166" t="s">
        <v>422</v>
      </c>
      <c r="N495" s="23" t="s">
        <v>198</v>
      </c>
      <c r="O495" s="144" t="s">
        <v>887</v>
      </c>
      <c r="P495" s="163" t="s">
        <v>348</v>
      </c>
      <c r="Q495" s="53" t="s">
        <v>725</v>
      </c>
      <c r="R495" s="166" t="s">
        <v>216</v>
      </c>
      <c r="S495" s="166" t="str">
        <f>MID(PAA[[#This Row],[Meta Proyecto de Inversión]],1,4)</f>
        <v>8173</v>
      </c>
      <c r="T495" s="166" t="str">
        <f>MID(PAA[[#This Row],[Meta Proyecto de Inversión]],6,2)</f>
        <v>7-</v>
      </c>
      <c r="U495" s="167" t="str">
        <f>IFERROR(VLOOKUP(N495,TD!$B$54:$F$58,2,0)," ")</f>
        <v>O230117</v>
      </c>
      <c r="V495" s="167" t="str">
        <f>IFERROR(VLOOKUP(N495,TD!$B$54:$F$58,3,0)," ")</f>
        <v>4503</v>
      </c>
      <c r="W495" s="167">
        <f>IFERROR(VLOOKUP(N495,TD!$B$54:$F$58,4,0)," ")</f>
        <v>20240255</v>
      </c>
      <c r="X495" s="166">
        <v>14</v>
      </c>
      <c r="Y495" s="167" t="str">
        <f>IFERROR(VLOOKUP(X495,TD!$J$55:$K$68,2,0)," ")</f>
        <v xml:space="preserve">Infraestructura física misional construida mantenida y dotada </v>
      </c>
      <c r="Z495" s="168" t="str">
        <f>CONCATENATE(X495,"-",Y495)</f>
        <v xml:space="preserve">14-Infraestructura física misional construida mantenida y dotada </v>
      </c>
      <c r="AA495" s="166" t="s">
        <v>225</v>
      </c>
      <c r="AB495" s="167" t="str">
        <f>IFERROR(VLOOKUP(AA495,TD!$N$55:$O$70,2,0)," ")</f>
        <v>Estaciones de bomberos adecuadas</v>
      </c>
      <c r="AC495" s="168" t="str">
        <f>CONCATENATE(AA495,"_",AB495)</f>
        <v>014_Estaciones de bomberos adecuadas</v>
      </c>
      <c r="AD495" s="168" t="str">
        <f>CONCATENATE(Z495," ",AC495)</f>
        <v>14-Infraestructura física misional construida mantenida y dotada  014_Estaciones de bomberos adecuadas</v>
      </c>
      <c r="AE495" s="167" t="str">
        <f>CONCATENATE(U495,V495,W495,X495,AA495)</f>
        <v>O23011745032024025514014</v>
      </c>
      <c r="AF495" s="167" t="str">
        <f>IFERROR(VLOOKUP(AD495,TD!$J$70:$K$93,2,0)," ")</f>
        <v>PM/0131/0114/45030140255</v>
      </c>
      <c r="AG495" s="114" t="s">
        <v>385</v>
      </c>
      <c r="AH495" s="175" t="s">
        <v>193</v>
      </c>
      <c r="AI495" s="169" t="str">
        <f>CONCATENATE(PAA[[#This Row],[Id Interno]],"-",PAA[[#This Row],[tipo de Contrato (TH talento humano - B/S bienes y/o servicios)]],"-",S495,"-",T495,"-",PAA[[#This Row],[Objeto de la contratación]])</f>
        <v>20260468-TH-8173-7--Prestar servicios profesionales para realizar acompañamiento en los procesos contractuales adelantados por la Subdirección Gestión Corporativa -SGC</v>
      </c>
    </row>
    <row r="496" spans="2:35" ht="42" x14ac:dyDescent="0.35">
      <c r="B496" s="23">
        <v>20260469</v>
      </c>
      <c r="C496" s="97" t="s">
        <v>683</v>
      </c>
      <c r="D496" s="23" t="s">
        <v>105</v>
      </c>
      <c r="E496" s="23" t="s">
        <v>363</v>
      </c>
      <c r="F496" s="163" t="s">
        <v>144</v>
      </c>
      <c r="G496" s="164" t="s">
        <v>373</v>
      </c>
      <c r="H496" s="165">
        <v>11</v>
      </c>
      <c r="I496" s="165">
        <v>0</v>
      </c>
      <c r="J496" s="122">
        <v>75133333</v>
      </c>
      <c r="K496" s="88" t="s">
        <v>398</v>
      </c>
      <c r="L496" s="163" t="s">
        <v>155</v>
      </c>
      <c r="M496" s="166" t="s">
        <v>422</v>
      </c>
      <c r="N496" s="23" t="s">
        <v>198</v>
      </c>
      <c r="O496" s="144" t="s">
        <v>887</v>
      </c>
      <c r="P496" s="163" t="s">
        <v>348</v>
      </c>
      <c r="Q496" s="53" t="s">
        <v>725</v>
      </c>
      <c r="R496" s="166" t="s">
        <v>217</v>
      </c>
      <c r="S496" s="166" t="str">
        <f>MID(PAA[[#This Row],[Meta Proyecto de Inversión]],1,4)</f>
        <v>8173</v>
      </c>
      <c r="T496" s="166" t="str">
        <f>MID(PAA[[#This Row],[Meta Proyecto de Inversión]],6,2)</f>
        <v>8-</v>
      </c>
      <c r="U496" s="167" t="str">
        <f>IFERROR(VLOOKUP(N496,TD!$B$54:$F$58,2,0)," ")</f>
        <v>O230117</v>
      </c>
      <c r="V496" s="167" t="str">
        <f>IFERROR(VLOOKUP(N496,TD!$B$54:$F$58,3,0)," ")</f>
        <v>4503</v>
      </c>
      <c r="W496" s="167">
        <f>IFERROR(VLOOKUP(N496,TD!$B$54:$F$58,4,0)," ")</f>
        <v>20240255</v>
      </c>
      <c r="X496" s="166">
        <v>14</v>
      </c>
      <c r="Y496" s="167" t="str">
        <f>IFERROR(VLOOKUP(X496,TD!$J$55:$K$68,2,0)," ")</f>
        <v xml:space="preserve">Infraestructura física misional construida mantenida y dotada </v>
      </c>
      <c r="Z496" s="168" t="str">
        <f>CONCATENATE(X496,"-",Y496)</f>
        <v xml:space="preserve">14-Infraestructura física misional construida mantenida y dotada </v>
      </c>
      <c r="AA496" s="166" t="s">
        <v>226</v>
      </c>
      <c r="AB496" s="167" t="str">
        <f>IFERROR(VLOOKUP(AA496,TD!$N$55:$O$70,2,0)," ")</f>
        <v>Estaciones de bomberos construidas</v>
      </c>
      <c r="AC496" s="168" t="str">
        <f>CONCATENATE(AA496,"_",AB496)</f>
        <v>015_Estaciones de bomberos construidas</v>
      </c>
      <c r="AD496" s="168" t="str">
        <f>CONCATENATE(Z496," ",AC496)</f>
        <v>14-Infraestructura física misional construida mantenida y dotada  015_Estaciones de bomberos construidas</v>
      </c>
      <c r="AE496" s="167" t="str">
        <f>CONCATENATE(U496,V496,W496,X496,AA496)</f>
        <v>O23011745032024025514015</v>
      </c>
      <c r="AF496" s="167" t="str">
        <f>IFERROR(VLOOKUP(AD496,TD!$J$70:$K$93,2,0)," ")</f>
        <v>PM/0131/0114/45030150255</v>
      </c>
      <c r="AG496" s="114" t="s">
        <v>385</v>
      </c>
      <c r="AH496" s="166" t="s">
        <v>193</v>
      </c>
      <c r="AI496" s="169" t="str">
        <f>CONCATENATE(PAA[[#This Row],[Id Interno]],"-",PAA[[#This Row],[tipo de Contrato (TH talento humano - B/S bienes y/o servicios)]],"-",S496,"-",T496,"-",PAA[[#This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497" spans="2:35" ht="56" x14ac:dyDescent="0.35">
      <c r="B497" s="23">
        <v>20260470</v>
      </c>
      <c r="C497" s="97" t="s">
        <v>684</v>
      </c>
      <c r="D497" s="23" t="s">
        <v>105</v>
      </c>
      <c r="E497" s="23" t="s">
        <v>363</v>
      </c>
      <c r="F497" s="163" t="s">
        <v>144</v>
      </c>
      <c r="G497" s="164" t="s">
        <v>373</v>
      </c>
      <c r="H497" s="165">
        <v>11</v>
      </c>
      <c r="I497" s="165">
        <v>0</v>
      </c>
      <c r="J497" s="122">
        <v>75133333</v>
      </c>
      <c r="K497" s="88" t="s">
        <v>398</v>
      </c>
      <c r="L497" s="163" t="s">
        <v>155</v>
      </c>
      <c r="M497" s="166" t="s">
        <v>422</v>
      </c>
      <c r="N497" s="23" t="s">
        <v>198</v>
      </c>
      <c r="O497" s="144" t="s">
        <v>887</v>
      </c>
      <c r="P497" s="163" t="s">
        <v>348</v>
      </c>
      <c r="Q497" s="53" t="s">
        <v>725</v>
      </c>
      <c r="R497" s="166" t="s">
        <v>219</v>
      </c>
      <c r="S497" s="166" t="str">
        <f>MID(PAA[[#This Row],[Meta Proyecto de Inversión]],1,4)</f>
        <v>8173</v>
      </c>
      <c r="T497" s="166" t="str">
        <f>MID(PAA[[#This Row],[Meta Proyecto de Inversión]],6,2)</f>
        <v>10</v>
      </c>
      <c r="U497" s="167" t="str">
        <f>IFERROR(VLOOKUP(N497,TD!$B$54:$F$58,2,0)," ")</f>
        <v>O230117</v>
      </c>
      <c r="V497" s="167" t="str">
        <f>IFERROR(VLOOKUP(N497,TD!$B$54:$F$58,3,0)," ")</f>
        <v>4503</v>
      </c>
      <c r="W497" s="167">
        <f>IFERROR(VLOOKUP(N497,TD!$B$54:$F$58,4,0)," ")</f>
        <v>20240255</v>
      </c>
      <c r="X497" s="166" t="s">
        <v>174</v>
      </c>
      <c r="Y497" s="167" t="str">
        <f>IFERROR(VLOOKUP(X497,TD!$J$55:$K$68,2,0)," ")</f>
        <v>Infraestructura física, mantenimiento y dotación (Sedes construidas, mantenidas reforzadas)</v>
      </c>
      <c r="Z497" s="168" t="str">
        <f>CONCATENATE(X497,"-",Y497)</f>
        <v>08-Infraestructura física, mantenimiento y dotación (Sedes construidas, mantenidas reforzadas)</v>
      </c>
      <c r="AA497" s="166" t="s">
        <v>282</v>
      </c>
      <c r="AB497" s="167" t="str">
        <f>IFERROR(VLOOKUP(AA497,TD!$N$55:$O$70,2,0)," ")</f>
        <v>Documentos de lineamientos técnicos</v>
      </c>
      <c r="AC497" s="168" t="str">
        <f>CONCATENATE(AA497,"_",AB497)</f>
        <v>031__Documentos de lineamientos técnicos</v>
      </c>
      <c r="AD497" s="168" t="str">
        <f>CONCATENATE(Z497," ",AC497)</f>
        <v>08-Infraestructura física, mantenimiento y dotación (Sedes construidas, mantenidas reforzadas) 031__Documentos de lineamientos técnicos</v>
      </c>
      <c r="AE497" s="167" t="str">
        <f>CONCATENATE(U497,V497,W497,X497,AA497)</f>
        <v>O23011745032024025508031_</v>
      </c>
      <c r="AF497" s="167" t="str">
        <f>IFERROR(VLOOKUP(AD497,TD!$J$70:$K$93,2,0)," ")</f>
        <v>PM/0131/0108/45030310255</v>
      </c>
      <c r="AG497" s="114" t="s">
        <v>385</v>
      </c>
      <c r="AH497" s="175" t="s">
        <v>193</v>
      </c>
      <c r="AI497" s="169" t="str">
        <f>CONCATENATE(PAA[[#This Row],[Id Interno]],"-",PAA[[#This Row],[tipo de Contrato (TH talento humano - B/S bienes y/o servicios)]],"-",S497,"-",T497,"-",PAA[[#This Row],[Objeto de la contratación]])</f>
        <v>20260470-TH-8173-10-Prestar los servicios profesionales técnicos para apoyar las actividades propias que contribuyan al desarrollo de la infraestructura requerida por la entidad para la adecuada prestación del servicio-SGC</v>
      </c>
    </row>
    <row r="498" spans="2:35" ht="56" x14ac:dyDescent="0.35">
      <c r="B498" s="23">
        <v>20260471</v>
      </c>
      <c r="C498" s="97" t="s">
        <v>685</v>
      </c>
      <c r="D498" s="23" t="s">
        <v>105</v>
      </c>
      <c r="E498" s="23" t="s">
        <v>363</v>
      </c>
      <c r="F498" s="163" t="s">
        <v>144</v>
      </c>
      <c r="G498" s="164" t="s">
        <v>373</v>
      </c>
      <c r="H498" s="165">
        <v>11</v>
      </c>
      <c r="I498" s="165">
        <v>0</v>
      </c>
      <c r="J498" s="122">
        <v>66356829</v>
      </c>
      <c r="K498" s="88" t="s">
        <v>398</v>
      </c>
      <c r="L498" s="163" t="s">
        <v>155</v>
      </c>
      <c r="M498" s="166" t="s">
        <v>422</v>
      </c>
      <c r="N498" s="23" t="s">
        <v>198</v>
      </c>
      <c r="O498" s="144" t="s">
        <v>887</v>
      </c>
      <c r="P498" s="163" t="s">
        <v>348</v>
      </c>
      <c r="Q498" s="53" t="s">
        <v>725</v>
      </c>
      <c r="R498" s="166" t="s">
        <v>216</v>
      </c>
      <c r="S498" s="166" t="str">
        <f>MID(PAA[[#This Row],[Meta Proyecto de Inversión]],1,4)</f>
        <v>8173</v>
      </c>
      <c r="T498" s="166" t="str">
        <f>MID(PAA[[#This Row],[Meta Proyecto de Inversión]],6,2)</f>
        <v>7-</v>
      </c>
      <c r="U498" s="167" t="str">
        <f>IFERROR(VLOOKUP(N498,TD!$B$54:$F$58,2,0)," ")</f>
        <v>O230117</v>
      </c>
      <c r="V498" s="167" t="str">
        <f>IFERROR(VLOOKUP(N498,TD!$B$54:$F$58,3,0)," ")</f>
        <v>4503</v>
      </c>
      <c r="W498" s="167">
        <f>IFERROR(VLOOKUP(N498,TD!$B$54:$F$58,4,0)," ")</f>
        <v>20240255</v>
      </c>
      <c r="X498" s="166">
        <v>14</v>
      </c>
      <c r="Y498" s="167" t="str">
        <f>IFERROR(VLOOKUP(X498,TD!$J$55:$K$68,2,0)," ")</f>
        <v xml:space="preserve">Infraestructura física misional construida mantenida y dotada </v>
      </c>
      <c r="Z498" s="168" t="str">
        <f>CONCATENATE(X498,"-",Y498)</f>
        <v xml:space="preserve">14-Infraestructura física misional construida mantenida y dotada </v>
      </c>
      <c r="AA498" s="166" t="s">
        <v>225</v>
      </c>
      <c r="AB498" s="167" t="str">
        <f>IFERROR(VLOOKUP(AA498,TD!$N$55:$O$70,2,0)," ")</f>
        <v>Estaciones de bomberos adecuadas</v>
      </c>
      <c r="AC498" s="168" t="str">
        <f>CONCATENATE(AA498,"_",AB498)</f>
        <v>014_Estaciones de bomberos adecuadas</v>
      </c>
      <c r="AD498" s="168" t="str">
        <f>CONCATENATE(Z498," ",AC498)</f>
        <v>14-Infraestructura física misional construida mantenida y dotada  014_Estaciones de bomberos adecuadas</v>
      </c>
      <c r="AE498" s="167" t="str">
        <f>CONCATENATE(U498,V498,W498,X498,AA498)</f>
        <v>O23011745032024025514014</v>
      </c>
      <c r="AF498" s="167" t="str">
        <f>IFERROR(VLOOKUP(AD498,TD!$J$70:$K$93,2,0)," ")</f>
        <v>PM/0131/0114/45030140255</v>
      </c>
      <c r="AG498" s="114" t="s">
        <v>385</v>
      </c>
      <c r="AH498" s="175" t="s">
        <v>193</v>
      </c>
      <c r="AI498" s="169" t="str">
        <f>CONCATENATE(PAA[[#This Row],[Id Interno]],"-",PAA[[#This Row],[tipo de Contrato (TH talento humano - B/S bienes y/o servicios)]],"-",S498,"-",T498,"-",PAA[[#This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99" spans="2:35" ht="84" x14ac:dyDescent="0.35">
      <c r="B499" s="23">
        <v>20260472</v>
      </c>
      <c r="C499" s="97" t="s">
        <v>686</v>
      </c>
      <c r="D499" s="23" t="s">
        <v>105</v>
      </c>
      <c r="E499" s="23" t="s">
        <v>363</v>
      </c>
      <c r="F499" s="163" t="s">
        <v>144</v>
      </c>
      <c r="G499" s="164" t="s">
        <v>373</v>
      </c>
      <c r="H499" s="165">
        <v>11</v>
      </c>
      <c r="I499" s="165">
        <v>0</v>
      </c>
      <c r="J499" s="122">
        <v>82250000</v>
      </c>
      <c r="K499" s="88" t="s">
        <v>398</v>
      </c>
      <c r="L499" s="163" t="s">
        <v>155</v>
      </c>
      <c r="M499" s="166" t="s">
        <v>422</v>
      </c>
      <c r="N499" s="23" t="s">
        <v>198</v>
      </c>
      <c r="O499" s="144" t="s">
        <v>887</v>
      </c>
      <c r="P499" s="163" t="s">
        <v>348</v>
      </c>
      <c r="Q499" s="53" t="s">
        <v>725</v>
      </c>
      <c r="R499" s="166" t="s">
        <v>216</v>
      </c>
      <c r="S499" s="166" t="str">
        <f>MID(PAA[[#This Row],[Meta Proyecto de Inversión]],1,4)</f>
        <v>8173</v>
      </c>
      <c r="T499" s="166" t="str">
        <f>MID(PAA[[#This Row],[Meta Proyecto de Inversión]],6,2)</f>
        <v>7-</v>
      </c>
      <c r="U499" s="167" t="str">
        <f>IFERROR(VLOOKUP(N499,TD!$B$54:$F$58,2,0)," ")</f>
        <v>O230117</v>
      </c>
      <c r="V499" s="167" t="str">
        <f>IFERROR(VLOOKUP(N499,TD!$B$54:$F$58,3,0)," ")</f>
        <v>4503</v>
      </c>
      <c r="W499" s="167">
        <f>IFERROR(VLOOKUP(N499,TD!$B$54:$F$58,4,0)," ")</f>
        <v>20240255</v>
      </c>
      <c r="X499" s="166">
        <v>14</v>
      </c>
      <c r="Y499" s="167" t="str">
        <f>IFERROR(VLOOKUP(X499,TD!$J$55:$K$68,2,0)," ")</f>
        <v xml:space="preserve">Infraestructura física misional construida mantenida y dotada </v>
      </c>
      <c r="Z499" s="168" t="str">
        <f>CONCATENATE(X499,"-",Y499)</f>
        <v xml:space="preserve">14-Infraestructura física misional construida mantenida y dotada </v>
      </c>
      <c r="AA499" s="166" t="s">
        <v>225</v>
      </c>
      <c r="AB499" s="167" t="str">
        <f>IFERROR(VLOOKUP(AA499,TD!$N$55:$O$70,2,0)," ")</f>
        <v>Estaciones de bomberos adecuadas</v>
      </c>
      <c r="AC499" s="168" t="str">
        <f>CONCATENATE(AA499,"_",AB499)</f>
        <v>014_Estaciones de bomberos adecuadas</v>
      </c>
      <c r="AD499" s="168" t="str">
        <f>CONCATENATE(Z499," ",AC499)</f>
        <v>14-Infraestructura física misional construida mantenida y dotada  014_Estaciones de bomberos adecuadas</v>
      </c>
      <c r="AE499" s="167" t="str">
        <f>CONCATENATE(U499,V499,W499,X499,AA499)</f>
        <v>O23011745032024025514014</v>
      </c>
      <c r="AF499" s="167" t="str">
        <f>IFERROR(VLOOKUP(AD499,TD!$J$70:$K$93,2,0)," ")</f>
        <v>PM/0131/0114/45030140255</v>
      </c>
      <c r="AG499" s="114" t="s">
        <v>385</v>
      </c>
      <c r="AH499" s="175" t="s">
        <v>193</v>
      </c>
      <c r="AI499" s="169" t="str">
        <f>CONCATENATE(PAA[[#This Row],[Id Interno]],"-",PAA[[#This Row],[tipo de Contrato (TH talento humano - B/S bienes y/o servicios)]],"-",S499,"-",T499,"-",PAA[[#This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500" spans="2:35" ht="56" x14ac:dyDescent="0.35">
      <c r="B500" s="23">
        <v>20260473</v>
      </c>
      <c r="C500" s="117" t="s">
        <v>646</v>
      </c>
      <c r="D500" s="125" t="s">
        <v>105</v>
      </c>
      <c r="E500" s="23" t="s">
        <v>363</v>
      </c>
      <c r="F500" s="176" t="s">
        <v>145</v>
      </c>
      <c r="G500" s="177" t="s">
        <v>373</v>
      </c>
      <c r="H500" s="178">
        <v>11</v>
      </c>
      <c r="I500" s="165">
        <v>0</v>
      </c>
      <c r="J500" s="127">
        <v>30872691</v>
      </c>
      <c r="K500" s="128" t="s">
        <v>398</v>
      </c>
      <c r="L500" s="176" t="s">
        <v>155</v>
      </c>
      <c r="M500" s="174" t="s">
        <v>422</v>
      </c>
      <c r="N500" s="125" t="s">
        <v>197</v>
      </c>
      <c r="O500" s="144" t="s">
        <v>886</v>
      </c>
      <c r="P500" s="176" t="s">
        <v>348</v>
      </c>
      <c r="Q500" s="129" t="s">
        <v>725</v>
      </c>
      <c r="R500" s="174" t="s">
        <v>208</v>
      </c>
      <c r="S500" s="174" t="str">
        <f>MID(PAA[[#This Row],[Meta Proyecto de Inversión]],1,4)</f>
        <v>8126</v>
      </c>
      <c r="T500" s="166" t="str">
        <f>MID(PAA[[#This Row],[Meta Proyecto de Inversión]],6,2)</f>
        <v>9-</v>
      </c>
      <c r="U500" s="179" t="str">
        <f>IFERROR(VLOOKUP(N500,TD!$B$54:$F$58,2,0)," ")</f>
        <v>O230117</v>
      </c>
      <c r="V500" s="179" t="str">
        <f>IFERROR(VLOOKUP(N500,TD!$B$54:$F$58,3,0)," ")</f>
        <v>4599</v>
      </c>
      <c r="W500" s="179">
        <f>IFERROR(VLOOKUP(N500,TD!$B$54:$F$58,4,0)," ")</f>
        <v>20240207</v>
      </c>
      <c r="X500" s="174" t="s">
        <v>174</v>
      </c>
      <c r="Y500" s="167" t="str">
        <f>IFERROR(VLOOKUP(X500,TD!$J$55:$K$68,2,0)," ")</f>
        <v>Infraestructura física, mantenimiento y dotación (Sedes construidas, mantenidas reforzadas)</v>
      </c>
      <c r="Z500" s="180" t="str">
        <f>CONCATENATE(X500,"-",Y500)</f>
        <v>08-Infraestructura física, mantenimiento y dotación (Sedes construidas, mantenidas reforzadas)</v>
      </c>
      <c r="AA500" s="174" t="s">
        <v>227</v>
      </c>
      <c r="AB500" s="167" t="str">
        <f>IFERROR(VLOOKUP(AA500,TD!$N$55:$O$70,2,0)," ")</f>
        <v>Sedes mantenidas</v>
      </c>
      <c r="AC500" s="180" t="str">
        <f>CONCATENATE(AA500,"_",AB500)</f>
        <v>016_Sedes mantenidas</v>
      </c>
      <c r="AD500" s="180" t="str">
        <f>CONCATENATE(Z500," ",AC500)</f>
        <v>08-Infraestructura física, mantenimiento y dotación (Sedes construidas, mantenidas reforzadas) 016_Sedes mantenidas</v>
      </c>
      <c r="AE500" s="179" t="str">
        <f>CONCATENATE(U500,V500,W500,X500,AA500)</f>
        <v>O23011745992024020708016</v>
      </c>
      <c r="AF500" s="167" t="str">
        <f>IFERROR(VLOOKUP(AD500,TD!$J$70:$K$93,2,0)," ")</f>
        <v>PM/0131/0108/45990160207</v>
      </c>
      <c r="AG500" s="130" t="s">
        <v>385</v>
      </c>
      <c r="AH500" s="181" t="s">
        <v>193</v>
      </c>
      <c r="AI500" s="169" t="str">
        <f>CONCATENATE(PAA[[#This Row],[Id Interno]],"-",PAA[[#This Row],[tipo de Contrato (TH talento humano - B/S bienes y/o servicios)]],"-",S500,"-",T500,"-",PAA[[#This Row],[Objeto de la contratación]])</f>
        <v>20260473-TH-8126-9--Prestación de servicios de apoyo a la gestión del proceso de inventarios de la Subdirección de Gestión Corporativa.-SGC</v>
      </c>
    </row>
    <row r="501" spans="2:35" ht="42" x14ac:dyDescent="0.35">
      <c r="B501" s="23">
        <v>20260474</v>
      </c>
      <c r="C501" s="97" t="s">
        <v>646</v>
      </c>
      <c r="D501" s="23" t="s">
        <v>105</v>
      </c>
      <c r="E501" s="23" t="s">
        <v>363</v>
      </c>
      <c r="F501" s="163" t="s">
        <v>145</v>
      </c>
      <c r="G501" s="164" t="s">
        <v>373</v>
      </c>
      <c r="H501" s="165">
        <v>10</v>
      </c>
      <c r="I501" s="165">
        <v>0</v>
      </c>
      <c r="J501" s="122">
        <v>28057552</v>
      </c>
      <c r="K501" s="88" t="s">
        <v>398</v>
      </c>
      <c r="L501" s="163" t="s">
        <v>155</v>
      </c>
      <c r="M501" s="166" t="s">
        <v>422</v>
      </c>
      <c r="N501" s="23" t="s">
        <v>197</v>
      </c>
      <c r="O501" s="144" t="s">
        <v>886</v>
      </c>
      <c r="P501" s="163" t="s">
        <v>348</v>
      </c>
      <c r="Q501" s="53" t="s">
        <v>725</v>
      </c>
      <c r="R501" s="166" t="s">
        <v>208</v>
      </c>
      <c r="S501" s="166" t="str">
        <f>MID(PAA[[#This Row],[Meta Proyecto de Inversión]],1,4)</f>
        <v>8126</v>
      </c>
      <c r="T501" s="166" t="str">
        <f>MID(PAA[[#This Row],[Meta Proyecto de Inversión]],6,2)</f>
        <v>9-</v>
      </c>
      <c r="U501" s="167" t="str">
        <f>IFERROR(VLOOKUP(N501,TD!$B$54:$F$58,2,0)," ")</f>
        <v>O230117</v>
      </c>
      <c r="V501" s="167" t="str">
        <f>IFERROR(VLOOKUP(N501,TD!$B$54:$F$58,3,0)," ")</f>
        <v>4599</v>
      </c>
      <c r="W501" s="167">
        <f>IFERROR(VLOOKUP(N501,TD!$B$54:$F$58,4,0)," ")</f>
        <v>20240207</v>
      </c>
      <c r="X501" s="166" t="s">
        <v>174</v>
      </c>
      <c r="Y501" s="167" t="str">
        <f>IFERROR(VLOOKUP(X501,TD!$J$55:$K$68,2,0)," ")</f>
        <v>Infraestructura física, mantenimiento y dotación (Sedes construidas, mantenidas reforzadas)</v>
      </c>
      <c r="Z501" s="168" t="str">
        <f>CONCATENATE(X501,"-",Y501)</f>
        <v>08-Infraestructura física, mantenimiento y dotación (Sedes construidas, mantenidas reforzadas)</v>
      </c>
      <c r="AA501" s="166" t="s">
        <v>227</v>
      </c>
      <c r="AB501" s="167" t="str">
        <f>IFERROR(VLOOKUP(AA501,TD!$N$55:$O$70,2,0)," ")</f>
        <v>Sedes mantenidas</v>
      </c>
      <c r="AC501" s="168" t="str">
        <f>CONCATENATE(AA501,"_",AB501)</f>
        <v>016_Sedes mantenidas</v>
      </c>
      <c r="AD501" s="168" t="str">
        <f>CONCATENATE(Z501," ",AC501)</f>
        <v>08-Infraestructura física, mantenimiento y dotación (Sedes construidas, mantenidas reforzadas) 016_Sedes mantenidas</v>
      </c>
      <c r="AE501" s="167" t="str">
        <f>CONCATENATE(U501,V501,W501,X501,AA501)</f>
        <v>O23011745992024020708016</v>
      </c>
      <c r="AF501" s="167" t="str">
        <f>IFERROR(VLOOKUP(AD501,TD!$J$70:$K$93,2,0)," ")</f>
        <v>PM/0131/0108/45990160207</v>
      </c>
      <c r="AG501" s="114" t="s">
        <v>385</v>
      </c>
      <c r="AH501" s="175" t="s">
        <v>193</v>
      </c>
      <c r="AI501" s="169" t="str">
        <f>CONCATENATE(PAA[[#This Row],[Id Interno]],"-",PAA[[#This Row],[tipo de Contrato (TH talento humano - B/S bienes y/o servicios)]],"-",S501,"-",T501,"-",PAA[[#This Row],[Objeto de la contratación]])</f>
        <v>20260474-TH-8126-9--Prestación de servicios de apoyo a la gestión del proceso de inventarios de la Subdirección de Gestión Corporativa.-SGC</v>
      </c>
    </row>
    <row r="502" spans="2:35" ht="42" x14ac:dyDescent="0.35">
      <c r="B502" s="23">
        <v>20260475</v>
      </c>
      <c r="C502" s="97" t="s">
        <v>651</v>
      </c>
      <c r="D502" s="23" t="s">
        <v>105</v>
      </c>
      <c r="E502" s="23" t="s">
        <v>363</v>
      </c>
      <c r="F502" s="163" t="s">
        <v>145</v>
      </c>
      <c r="G502" s="164" t="s">
        <v>373</v>
      </c>
      <c r="H502" s="165">
        <v>11</v>
      </c>
      <c r="I502" s="165">
        <v>0</v>
      </c>
      <c r="J502" s="122">
        <v>16890834</v>
      </c>
      <c r="K502" s="88" t="s">
        <v>398</v>
      </c>
      <c r="L502" s="163" t="s">
        <v>155</v>
      </c>
      <c r="M502" s="166" t="s">
        <v>422</v>
      </c>
      <c r="N502" s="23" t="s">
        <v>197</v>
      </c>
      <c r="O502" s="144" t="s">
        <v>886</v>
      </c>
      <c r="P502" s="163" t="s">
        <v>348</v>
      </c>
      <c r="Q502" s="53" t="s">
        <v>725</v>
      </c>
      <c r="R502" s="166" t="s">
        <v>208</v>
      </c>
      <c r="S502" s="166" t="str">
        <f>MID(PAA[[#This Row],[Meta Proyecto de Inversión]],1,4)</f>
        <v>8126</v>
      </c>
      <c r="T502" s="166" t="str">
        <f>MID(PAA[[#This Row],[Meta Proyecto de Inversión]],6,2)</f>
        <v>9-</v>
      </c>
      <c r="U502" s="167" t="str">
        <f>IFERROR(VLOOKUP(N502,TD!$B$54:$F$58,2,0)," ")</f>
        <v>O230117</v>
      </c>
      <c r="V502" s="167" t="str">
        <f>IFERROR(VLOOKUP(N502,TD!$B$54:$F$58,3,0)," ")</f>
        <v>4599</v>
      </c>
      <c r="W502" s="167">
        <f>IFERROR(VLOOKUP(N502,TD!$B$54:$F$58,4,0)," ")</f>
        <v>20240207</v>
      </c>
      <c r="X502" s="166" t="s">
        <v>174</v>
      </c>
      <c r="Y502" s="167" t="str">
        <f>IFERROR(VLOOKUP(X502,TD!$J$55:$K$68,2,0)," ")</f>
        <v>Infraestructura física, mantenimiento y dotación (Sedes construidas, mantenidas reforzadas)</v>
      </c>
      <c r="Z502" s="168" t="str">
        <f>CONCATENATE(X502,"-",Y502)</f>
        <v>08-Infraestructura física, mantenimiento y dotación (Sedes construidas, mantenidas reforzadas)</v>
      </c>
      <c r="AA502" s="166" t="s">
        <v>227</v>
      </c>
      <c r="AB502" s="167" t="str">
        <f>IFERROR(VLOOKUP(AA502,TD!$N$55:$O$70,2,0)," ")</f>
        <v>Sedes mantenidas</v>
      </c>
      <c r="AC502" s="168" t="str">
        <f>CONCATENATE(AA502,"_",AB502)</f>
        <v>016_Sedes mantenidas</v>
      </c>
      <c r="AD502" s="168" t="str">
        <f>CONCATENATE(Z502," ",AC502)</f>
        <v>08-Infraestructura física, mantenimiento y dotación (Sedes construidas, mantenidas reforzadas) 016_Sedes mantenidas</v>
      </c>
      <c r="AE502" s="167" t="str">
        <f>CONCATENATE(U502,V502,W502,X502,AA502)</f>
        <v>O23011745992024020708016</v>
      </c>
      <c r="AF502" s="167" t="str">
        <f>IFERROR(VLOOKUP(AD502,TD!$J$70:$K$93,2,0)," ")</f>
        <v>PM/0131/0108/45990160207</v>
      </c>
      <c r="AG502" s="114" t="s">
        <v>385</v>
      </c>
      <c r="AH502" s="175" t="s">
        <v>193</v>
      </c>
      <c r="AI502" s="169" t="str">
        <f>CONCATENATE(PAA[[#This Row],[Id Interno]],"-",PAA[[#This Row],[tipo de Contrato (TH talento humano - B/S bienes y/o servicios)]],"-",S502,"-",T502,"-",PAA[[#This Row],[Objeto de la contratación]])</f>
        <v>20260475-TH-8126-9--Prestación de servicios de apoyo a la gestión documental de la Subdirección de Gestión Corporativa de la Unidad.-SGC</v>
      </c>
    </row>
    <row r="503" spans="2:35" ht="42" x14ac:dyDescent="0.35">
      <c r="B503" s="23">
        <v>20260476</v>
      </c>
      <c r="C503" s="97" t="s">
        <v>651</v>
      </c>
      <c r="D503" s="23" t="s">
        <v>105</v>
      </c>
      <c r="E503" s="23" t="s">
        <v>363</v>
      </c>
      <c r="F503" s="163" t="s">
        <v>145</v>
      </c>
      <c r="G503" s="164" t="s">
        <v>373</v>
      </c>
      <c r="H503" s="165">
        <v>11</v>
      </c>
      <c r="I503" s="165">
        <v>0</v>
      </c>
      <c r="J503" s="122">
        <v>42025995</v>
      </c>
      <c r="K503" s="88" t="s">
        <v>398</v>
      </c>
      <c r="L503" s="163" t="s">
        <v>155</v>
      </c>
      <c r="M503" s="166" t="s">
        <v>422</v>
      </c>
      <c r="N503" s="23" t="s">
        <v>197</v>
      </c>
      <c r="O503" s="144" t="s">
        <v>886</v>
      </c>
      <c r="P503" s="163" t="s">
        <v>348</v>
      </c>
      <c r="Q503" s="53" t="s">
        <v>725</v>
      </c>
      <c r="R503" s="166" t="s">
        <v>208</v>
      </c>
      <c r="S503" s="166" t="str">
        <f>MID(PAA[[#This Row],[Meta Proyecto de Inversión]],1,4)</f>
        <v>8126</v>
      </c>
      <c r="T503" s="166" t="str">
        <f>MID(PAA[[#This Row],[Meta Proyecto de Inversión]],6,2)</f>
        <v>9-</v>
      </c>
      <c r="U503" s="167" t="str">
        <f>IFERROR(VLOOKUP(N503,TD!$B$54:$F$58,2,0)," ")</f>
        <v>O230117</v>
      </c>
      <c r="V503" s="167" t="str">
        <f>IFERROR(VLOOKUP(N503,TD!$B$54:$F$58,3,0)," ")</f>
        <v>4599</v>
      </c>
      <c r="W503" s="167">
        <f>IFERROR(VLOOKUP(N503,TD!$B$54:$F$58,4,0)," ")</f>
        <v>20240207</v>
      </c>
      <c r="X503" s="166" t="s">
        <v>174</v>
      </c>
      <c r="Y503" s="167" t="str">
        <f>IFERROR(VLOOKUP(X503,TD!$J$55:$K$68,2,0)," ")</f>
        <v>Infraestructura física, mantenimiento y dotación (Sedes construidas, mantenidas reforzadas)</v>
      </c>
      <c r="Z503" s="168" t="str">
        <f>CONCATENATE(X503,"-",Y503)</f>
        <v>08-Infraestructura física, mantenimiento y dotación (Sedes construidas, mantenidas reforzadas)</v>
      </c>
      <c r="AA503" s="166" t="s">
        <v>227</v>
      </c>
      <c r="AB503" s="167" t="str">
        <f>IFERROR(VLOOKUP(AA503,TD!$N$55:$O$70,2,0)," ")</f>
        <v>Sedes mantenidas</v>
      </c>
      <c r="AC503" s="168" t="str">
        <f>CONCATENATE(AA503,"_",AB503)</f>
        <v>016_Sedes mantenidas</v>
      </c>
      <c r="AD503" s="168" t="str">
        <f>CONCATENATE(Z503," ",AC503)</f>
        <v>08-Infraestructura física, mantenimiento y dotación (Sedes construidas, mantenidas reforzadas) 016_Sedes mantenidas</v>
      </c>
      <c r="AE503" s="167" t="str">
        <f>CONCATENATE(U503,V503,W503,X503,AA503)</f>
        <v>O23011745992024020708016</v>
      </c>
      <c r="AF503" s="167" t="str">
        <f>IFERROR(VLOOKUP(AD503,TD!$J$70:$K$93,2,0)," ")</f>
        <v>PM/0131/0108/45990160207</v>
      </c>
      <c r="AG503" s="114" t="s">
        <v>385</v>
      </c>
      <c r="AH503" s="175" t="s">
        <v>193</v>
      </c>
      <c r="AI503" s="169" t="str">
        <f>CONCATENATE(PAA[[#This Row],[Id Interno]],"-",PAA[[#This Row],[tipo de Contrato (TH talento humano - B/S bienes y/o servicios)]],"-",S503,"-",T503,"-",PAA[[#This Row],[Objeto de la contratación]])</f>
        <v>20260476-TH-8126-9--Prestación de servicios de apoyo a la gestión documental de la Subdirección de Gestión Corporativa de la Unidad.-SGC</v>
      </c>
    </row>
    <row r="504" spans="2:35" ht="42" x14ac:dyDescent="0.35">
      <c r="B504" s="23">
        <v>20260477</v>
      </c>
      <c r="C504" s="97" t="s">
        <v>687</v>
      </c>
      <c r="D504" s="23" t="s">
        <v>105</v>
      </c>
      <c r="E504" s="23" t="s">
        <v>363</v>
      </c>
      <c r="F504" s="163" t="s">
        <v>145</v>
      </c>
      <c r="G504" s="164" t="s">
        <v>373</v>
      </c>
      <c r="H504" s="165">
        <v>11</v>
      </c>
      <c r="I504" s="165">
        <v>0</v>
      </c>
      <c r="J504" s="122">
        <v>30872688</v>
      </c>
      <c r="K504" s="88" t="s">
        <v>398</v>
      </c>
      <c r="L504" s="163" t="s">
        <v>155</v>
      </c>
      <c r="M504" s="166" t="s">
        <v>422</v>
      </c>
      <c r="N504" s="23" t="s">
        <v>197</v>
      </c>
      <c r="O504" s="144" t="s">
        <v>886</v>
      </c>
      <c r="P504" s="163" t="s">
        <v>348</v>
      </c>
      <c r="Q504" s="53" t="s">
        <v>725</v>
      </c>
      <c r="R504" s="166" t="s">
        <v>208</v>
      </c>
      <c r="S504" s="166" t="str">
        <f>MID(PAA[[#This Row],[Meta Proyecto de Inversión]],1,4)</f>
        <v>8126</v>
      </c>
      <c r="T504" s="166" t="str">
        <f>MID(PAA[[#This Row],[Meta Proyecto de Inversión]],6,2)</f>
        <v>9-</v>
      </c>
      <c r="U504" s="167" t="str">
        <f>IFERROR(VLOOKUP(N504,TD!$B$54:$F$58,2,0)," ")</f>
        <v>O230117</v>
      </c>
      <c r="V504" s="167" t="str">
        <f>IFERROR(VLOOKUP(N504,TD!$B$54:$F$58,3,0)," ")</f>
        <v>4599</v>
      </c>
      <c r="W504" s="167">
        <f>IFERROR(VLOOKUP(N504,TD!$B$54:$F$58,4,0)," ")</f>
        <v>20240207</v>
      </c>
      <c r="X504" s="166" t="s">
        <v>174</v>
      </c>
      <c r="Y504" s="167" t="str">
        <f>IFERROR(VLOOKUP(X504,TD!$J$55:$K$68,2,0)," ")</f>
        <v>Infraestructura física, mantenimiento y dotación (Sedes construidas, mantenidas reforzadas)</v>
      </c>
      <c r="Z504" s="168" t="str">
        <f>CONCATENATE(X504,"-",Y504)</f>
        <v>08-Infraestructura física, mantenimiento y dotación (Sedes construidas, mantenidas reforzadas)</v>
      </c>
      <c r="AA504" s="166" t="s">
        <v>227</v>
      </c>
      <c r="AB504" s="167" t="str">
        <f>IFERROR(VLOOKUP(AA504,TD!$N$55:$O$70,2,0)," ")</f>
        <v>Sedes mantenidas</v>
      </c>
      <c r="AC504" s="168" t="str">
        <f>CONCATENATE(AA504,"_",AB504)</f>
        <v>016_Sedes mantenidas</v>
      </c>
      <c r="AD504" s="168" t="str">
        <f>CONCATENATE(Z504," ",AC504)</f>
        <v>08-Infraestructura física, mantenimiento y dotación (Sedes construidas, mantenidas reforzadas) 016_Sedes mantenidas</v>
      </c>
      <c r="AE504" s="167" t="str">
        <f>CONCATENATE(U504,V504,W504,X504,AA504)</f>
        <v>O23011745992024020708016</v>
      </c>
      <c r="AF504" s="167" t="str">
        <f>IFERROR(VLOOKUP(AD504,TD!$J$70:$K$93,2,0)," ")</f>
        <v>PM/0131/0108/45990160207</v>
      </c>
      <c r="AG504" s="114" t="s">
        <v>385</v>
      </c>
      <c r="AH504" s="175" t="s">
        <v>193</v>
      </c>
      <c r="AI504" s="169" t="str">
        <f>CONCATENATE(PAA[[#This Row],[Id Interno]],"-",PAA[[#This Row],[tipo de Contrato (TH talento humano - B/S bienes y/o servicios)]],"-",S504,"-",T504,"-",PAA[[#This Row],[Objeto de la contratación]])</f>
        <v>20260477-TH-8126-9--Prestación de servicios de apoyo en las actividades asociadas a los procesos de gestión de inventarios de la Subdirección de Gestión Corporativa.-SGC</v>
      </c>
    </row>
    <row r="505" spans="2:35" ht="42" x14ac:dyDescent="0.35">
      <c r="B505" s="23">
        <v>20260478</v>
      </c>
      <c r="C505" s="97" t="s">
        <v>688</v>
      </c>
      <c r="D505" s="23" t="s">
        <v>105</v>
      </c>
      <c r="E505" s="23" t="s">
        <v>363</v>
      </c>
      <c r="F505" s="163" t="s">
        <v>145</v>
      </c>
      <c r="G505" s="164" t="s">
        <v>373</v>
      </c>
      <c r="H505" s="165">
        <v>11</v>
      </c>
      <c r="I505" s="165">
        <v>0</v>
      </c>
      <c r="J505" s="122">
        <v>47044094</v>
      </c>
      <c r="K505" s="88" t="s">
        <v>398</v>
      </c>
      <c r="L505" s="163" t="s">
        <v>155</v>
      </c>
      <c r="M505" s="166" t="s">
        <v>422</v>
      </c>
      <c r="N505" s="23" t="s">
        <v>197</v>
      </c>
      <c r="O505" s="144" t="s">
        <v>886</v>
      </c>
      <c r="P505" s="163" t="s">
        <v>348</v>
      </c>
      <c r="Q505" s="53" t="s">
        <v>725</v>
      </c>
      <c r="R505" s="166" t="s">
        <v>208</v>
      </c>
      <c r="S505" s="166" t="str">
        <f>MID(PAA[[#This Row],[Meta Proyecto de Inversión]],1,4)</f>
        <v>8126</v>
      </c>
      <c r="T505" s="166" t="str">
        <f>MID(PAA[[#This Row],[Meta Proyecto de Inversión]],6,2)</f>
        <v>9-</v>
      </c>
      <c r="U505" s="167" t="str">
        <f>IFERROR(VLOOKUP(N505,TD!$B$54:$F$58,2,0)," ")</f>
        <v>O230117</v>
      </c>
      <c r="V505" s="167" t="str">
        <f>IFERROR(VLOOKUP(N505,TD!$B$54:$F$58,3,0)," ")</f>
        <v>4599</v>
      </c>
      <c r="W505" s="167">
        <f>IFERROR(VLOOKUP(N505,TD!$B$54:$F$58,4,0)," ")</f>
        <v>20240207</v>
      </c>
      <c r="X505" s="166" t="s">
        <v>174</v>
      </c>
      <c r="Y505" s="167" t="str">
        <f>IFERROR(VLOOKUP(X505,TD!$J$55:$K$68,2,0)," ")</f>
        <v>Infraestructura física, mantenimiento y dotación (Sedes construidas, mantenidas reforzadas)</v>
      </c>
      <c r="Z505" s="168" t="str">
        <f>CONCATENATE(X505,"-",Y505)</f>
        <v>08-Infraestructura física, mantenimiento y dotación (Sedes construidas, mantenidas reforzadas)</v>
      </c>
      <c r="AA505" s="166" t="s">
        <v>227</v>
      </c>
      <c r="AB505" s="167" t="str">
        <f>IFERROR(VLOOKUP(AA505,TD!$N$55:$O$70,2,0)," ")</f>
        <v>Sedes mantenidas</v>
      </c>
      <c r="AC505" s="168" t="str">
        <f>CONCATENATE(AA505,"_",AB505)</f>
        <v>016_Sedes mantenidas</v>
      </c>
      <c r="AD505" s="168" t="str">
        <f>CONCATENATE(Z505," ",AC505)</f>
        <v>08-Infraestructura física, mantenimiento y dotación (Sedes construidas, mantenidas reforzadas) 016_Sedes mantenidas</v>
      </c>
      <c r="AE505" s="167" t="str">
        <f>CONCATENATE(U505,V505,W505,X505,AA505)</f>
        <v>O23011745992024020708016</v>
      </c>
      <c r="AF505" s="167" t="str">
        <f>IFERROR(VLOOKUP(AD505,TD!$J$70:$K$93,2,0)," ")</f>
        <v>PM/0131/0108/45990160207</v>
      </c>
      <c r="AG505" s="114" t="s">
        <v>385</v>
      </c>
      <c r="AH505" s="175" t="s">
        <v>193</v>
      </c>
      <c r="AI505" s="169" t="str">
        <f>CONCATENATE(PAA[[#This Row],[Id Interno]],"-",PAA[[#This Row],[tipo de Contrato (TH talento humano - B/S bienes y/o servicios)]],"-",S505,"-",T505,"-",PAA[[#This Row],[Objeto de la contratación]])</f>
        <v>20260478-TH-8126-9--Prestación de servicios de apoyo técnico en la gestión documental de la Subdirección de Gestión Corporativa de la Unidad-SGC</v>
      </c>
    </row>
    <row r="506" spans="2:35" ht="42" x14ac:dyDescent="0.35">
      <c r="B506" s="23">
        <v>20260479</v>
      </c>
      <c r="C506" s="97" t="s">
        <v>638</v>
      </c>
      <c r="D506" s="23" t="s">
        <v>105</v>
      </c>
      <c r="E506" s="23" t="s">
        <v>363</v>
      </c>
      <c r="F506" s="163" t="s">
        <v>145</v>
      </c>
      <c r="G506" s="164" t="s">
        <v>373</v>
      </c>
      <c r="H506" s="165">
        <v>11</v>
      </c>
      <c r="I506" s="165">
        <v>0</v>
      </c>
      <c r="J506" s="122">
        <v>36127608</v>
      </c>
      <c r="K506" s="88" t="s">
        <v>398</v>
      </c>
      <c r="L506" s="163" t="s">
        <v>155</v>
      </c>
      <c r="M506" s="166" t="s">
        <v>422</v>
      </c>
      <c r="N506" s="23" t="s">
        <v>197</v>
      </c>
      <c r="O506" s="144" t="s">
        <v>886</v>
      </c>
      <c r="P506" s="163" t="s">
        <v>348</v>
      </c>
      <c r="Q506" s="53" t="s">
        <v>725</v>
      </c>
      <c r="R506" s="166" t="s">
        <v>208</v>
      </c>
      <c r="S506" s="166" t="str">
        <f>MID(PAA[[#This Row],[Meta Proyecto de Inversión]],1,4)</f>
        <v>8126</v>
      </c>
      <c r="T506" s="166" t="str">
        <f>MID(PAA[[#This Row],[Meta Proyecto de Inversión]],6,2)</f>
        <v>9-</v>
      </c>
      <c r="U506" s="167" t="str">
        <f>IFERROR(VLOOKUP(N506,TD!$B$54:$F$58,2,0)," ")</f>
        <v>O230117</v>
      </c>
      <c r="V506" s="167" t="str">
        <f>IFERROR(VLOOKUP(N506,TD!$B$54:$F$58,3,0)," ")</f>
        <v>4599</v>
      </c>
      <c r="W506" s="167">
        <f>IFERROR(VLOOKUP(N506,TD!$B$54:$F$58,4,0)," ")</f>
        <v>20240207</v>
      </c>
      <c r="X506" s="166" t="s">
        <v>174</v>
      </c>
      <c r="Y506" s="167" t="str">
        <f>IFERROR(VLOOKUP(X506,TD!$J$55:$K$68,2,0)," ")</f>
        <v>Infraestructura física, mantenimiento y dotación (Sedes construidas, mantenidas reforzadas)</v>
      </c>
      <c r="Z506" s="168" t="str">
        <f>CONCATENATE(X506,"-",Y506)</f>
        <v>08-Infraestructura física, mantenimiento y dotación (Sedes construidas, mantenidas reforzadas)</v>
      </c>
      <c r="AA506" s="166" t="s">
        <v>227</v>
      </c>
      <c r="AB506" s="167" t="str">
        <f>IFERROR(VLOOKUP(AA506,TD!$N$55:$O$70,2,0)," ")</f>
        <v>Sedes mantenidas</v>
      </c>
      <c r="AC506" s="168" t="str">
        <f>CONCATENATE(AA506,"_",AB506)</f>
        <v>016_Sedes mantenidas</v>
      </c>
      <c r="AD506" s="168" t="str">
        <f>CONCATENATE(Z506," ",AC506)</f>
        <v>08-Infraestructura física, mantenimiento y dotación (Sedes construidas, mantenidas reforzadas) 016_Sedes mantenidas</v>
      </c>
      <c r="AE506" s="167" t="str">
        <f>CONCATENATE(U506,V506,W506,X506,AA506)</f>
        <v>O23011745992024020708016</v>
      </c>
      <c r="AF506" s="167" t="str">
        <f>IFERROR(VLOOKUP(AD506,TD!$J$70:$K$93,2,0)," ")</f>
        <v>PM/0131/0108/45990160207</v>
      </c>
      <c r="AG506" s="114" t="s">
        <v>385</v>
      </c>
      <c r="AH506" s="175" t="s">
        <v>193</v>
      </c>
      <c r="AI506" s="169" t="str">
        <f>CONCATENATE(PAA[[#This Row],[Id Interno]],"-",PAA[[#This Row],[tipo de Contrato (TH talento humano - B/S bienes y/o servicios)]],"-",S506,"-",T506,"-",PAA[[#This Row],[Objeto de la contratación]])</f>
        <v>20260479-TH-8126-9--Prestación de servicios de apoyo a la gestión en la ejecución de los planes y programas de servicio al ciudadano a cargo de la Subdirección de Gestión Corporativa.-SGC</v>
      </c>
    </row>
    <row r="507" spans="2:35" ht="42" x14ac:dyDescent="0.35">
      <c r="B507" s="23">
        <v>20260480</v>
      </c>
      <c r="C507" s="97" t="s">
        <v>638</v>
      </c>
      <c r="D507" s="23" t="s">
        <v>105</v>
      </c>
      <c r="E507" s="23" t="s">
        <v>363</v>
      </c>
      <c r="F507" s="163" t="s">
        <v>145</v>
      </c>
      <c r="G507" s="164" t="s">
        <v>373</v>
      </c>
      <c r="H507" s="165">
        <v>11</v>
      </c>
      <c r="I507" s="165">
        <v>0</v>
      </c>
      <c r="J507" s="122">
        <v>19705968</v>
      </c>
      <c r="K507" s="88" t="s">
        <v>398</v>
      </c>
      <c r="L507" s="163" t="s">
        <v>155</v>
      </c>
      <c r="M507" s="166" t="s">
        <v>422</v>
      </c>
      <c r="N507" s="23" t="s">
        <v>197</v>
      </c>
      <c r="O507" s="144" t="s">
        <v>886</v>
      </c>
      <c r="P507" s="163" t="s">
        <v>348</v>
      </c>
      <c r="Q507" s="53" t="s">
        <v>725</v>
      </c>
      <c r="R507" s="166" t="s">
        <v>208</v>
      </c>
      <c r="S507" s="166" t="str">
        <f>MID(PAA[[#This Row],[Meta Proyecto de Inversión]],1,4)</f>
        <v>8126</v>
      </c>
      <c r="T507" s="166" t="str">
        <f>MID(PAA[[#This Row],[Meta Proyecto de Inversión]],6,2)</f>
        <v>9-</v>
      </c>
      <c r="U507" s="167" t="str">
        <f>IFERROR(VLOOKUP(N507,TD!$B$54:$F$58,2,0)," ")</f>
        <v>O230117</v>
      </c>
      <c r="V507" s="167" t="str">
        <f>IFERROR(VLOOKUP(N507,TD!$B$54:$F$58,3,0)," ")</f>
        <v>4599</v>
      </c>
      <c r="W507" s="167">
        <f>IFERROR(VLOOKUP(N507,TD!$B$54:$F$58,4,0)," ")</f>
        <v>20240207</v>
      </c>
      <c r="X507" s="166" t="s">
        <v>174</v>
      </c>
      <c r="Y507" s="167" t="str">
        <f>IFERROR(VLOOKUP(X507,TD!$J$55:$K$68,2,0)," ")</f>
        <v>Infraestructura física, mantenimiento y dotación (Sedes construidas, mantenidas reforzadas)</v>
      </c>
      <c r="Z507" s="168" t="str">
        <f>CONCATENATE(X507,"-",Y507)</f>
        <v>08-Infraestructura física, mantenimiento y dotación (Sedes construidas, mantenidas reforzadas)</v>
      </c>
      <c r="AA507" s="166" t="s">
        <v>227</v>
      </c>
      <c r="AB507" s="167" t="str">
        <f>IFERROR(VLOOKUP(AA507,TD!$N$55:$O$70,2,0)," ")</f>
        <v>Sedes mantenidas</v>
      </c>
      <c r="AC507" s="168" t="str">
        <f>CONCATENATE(AA507,"_",AB507)</f>
        <v>016_Sedes mantenidas</v>
      </c>
      <c r="AD507" s="168" t="str">
        <f>CONCATENATE(Z507," ",AC507)</f>
        <v>08-Infraestructura física, mantenimiento y dotación (Sedes construidas, mantenidas reforzadas) 016_Sedes mantenidas</v>
      </c>
      <c r="AE507" s="167" t="str">
        <f>CONCATENATE(U507,V507,W507,X507,AA507)</f>
        <v>O23011745992024020708016</v>
      </c>
      <c r="AF507" s="167" t="str">
        <f>IFERROR(VLOOKUP(AD507,TD!$J$70:$K$93,2,0)," ")</f>
        <v>PM/0131/0108/45990160207</v>
      </c>
      <c r="AG507" s="114" t="s">
        <v>385</v>
      </c>
      <c r="AH507" s="175" t="s">
        <v>193</v>
      </c>
      <c r="AI507" s="169" t="str">
        <f>CONCATENATE(PAA[[#This Row],[Id Interno]],"-",PAA[[#This Row],[tipo de Contrato (TH talento humano - B/S bienes y/o servicios)]],"-",S507,"-",T507,"-",PAA[[#This Row],[Objeto de la contratación]])</f>
        <v>20260480-TH-8126-9--Prestación de servicios de apoyo a la gestión en la ejecución de los planes y programas de servicio al ciudadano a cargo de la Subdirección de Gestión Corporativa.-SGC</v>
      </c>
    </row>
    <row r="508" spans="2:35" ht="42" x14ac:dyDescent="0.35">
      <c r="B508" s="23">
        <v>20260481</v>
      </c>
      <c r="C508" s="97" t="s">
        <v>638</v>
      </c>
      <c r="D508" s="23" t="s">
        <v>105</v>
      </c>
      <c r="E508" s="23" t="s">
        <v>363</v>
      </c>
      <c r="F508" s="163" t="s">
        <v>145</v>
      </c>
      <c r="G508" s="164" t="s">
        <v>373</v>
      </c>
      <c r="H508" s="165">
        <v>11</v>
      </c>
      <c r="I508" s="165">
        <v>0</v>
      </c>
      <c r="J508" s="122">
        <v>19705968</v>
      </c>
      <c r="K508" s="88" t="s">
        <v>398</v>
      </c>
      <c r="L508" s="163" t="s">
        <v>155</v>
      </c>
      <c r="M508" s="166" t="s">
        <v>422</v>
      </c>
      <c r="N508" s="23" t="s">
        <v>197</v>
      </c>
      <c r="O508" s="144" t="s">
        <v>886</v>
      </c>
      <c r="P508" s="164" t="s">
        <v>348</v>
      </c>
      <c r="Q508" s="53" t="s">
        <v>725</v>
      </c>
      <c r="R508" s="166" t="s">
        <v>208</v>
      </c>
      <c r="S508" s="166" t="str">
        <f>MID(PAA[[#This Row],[Meta Proyecto de Inversión]],1,4)</f>
        <v>8126</v>
      </c>
      <c r="T508" s="166" t="str">
        <f>MID(PAA[[#This Row],[Meta Proyecto de Inversión]],6,2)</f>
        <v>9-</v>
      </c>
      <c r="U508" s="167" t="str">
        <f>IFERROR(VLOOKUP(N508,TD!$B$54:$F$58,2,0)," ")</f>
        <v>O230117</v>
      </c>
      <c r="V508" s="167" t="str">
        <f>IFERROR(VLOOKUP(N508,TD!$B$54:$F$58,3,0)," ")</f>
        <v>4599</v>
      </c>
      <c r="W508" s="167">
        <f>IFERROR(VLOOKUP(N508,TD!$B$54:$F$58,4,0)," ")</f>
        <v>20240207</v>
      </c>
      <c r="X508" s="166" t="s">
        <v>174</v>
      </c>
      <c r="Y508" s="167" t="str">
        <f>IFERROR(VLOOKUP(X508,TD!$J$55:$K$68,2,0)," ")</f>
        <v>Infraestructura física, mantenimiento y dotación (Sedes construidas, mantenidas reforzadas)</v>
      </c>
      <c r="Z508" s="168" t="str">
        <f>CONCATENATE(X508,"-",Y508)</f>
        <v>08-Infraestructura física, mantenimiento y dotación (Sedes construidas, mantenidas reforzadas)</v>
      </c>
      <c r="AA508" s="166" t="s">
        <v>227</v>
      </c>
      <c r="AB508" s="167" t="str">
        <f>IFERROR(VLOOKUP(AA508,TD!$N$55:$O$70,2,0)," ")</f>
        <v>Sedes mantenidas</v>
      </c>
      <c r="AC508" s="168" t="str">
        <f>CONCATENATE(AA508,"_",AB508)</f>
        <v>016_Sedes mantenidas</v>
      </c>
      <c r="AD508" s="168" t="str">
        <f>CONCATENATE(Z508," ",AC508)</f>
        <v>08-Infraestructura física, mantenimiento y dotación (Sedes construidas, mantenidas reforzadas) 016_Sedes mantenidas</v>
      </c>
      <c r="AE508" s="167" t="str">
        <f>CONCATENATE(U508,V508,W508,X508,AA508)</f>
        <v>O23011745992024020708016</v>
      </c>
      <c r="AF508" s="167" t="str">
        <f>IFERROR(VLOOKUP(AD508,TD!$J$70:$K$93,2,0)," ")</f>
        <v>PM/0131/0108/45990160207</v>
      </c>
      <c r="AG508" s="114" t="s">
        <v>385</v>
      </c>
      <c r="AH508" s="175" t="s">
        <v>193</v>
      </c>
      <c r="AI508" s="169" t="str">
        <f>CONCATENATE(PAA[[#This Row],[Id Interno]],"-",PAA[[#This Row],[tipo de Contrato (TH talento humano - B/S bienes y/o servicios)]],"-",S508,"-",T508,"-",PAA[[#This Row],[Objeto de la contratación]])</f>
        <v>20260481-TH-8126-9--Prestación de servicios de apoyo a la gestión en la ejecución de los planes y programas de servicio al ciudadano a cargo de la Subdirección de Gestión Corporativa.-SGC</v>
      </c>
    </row>
    <row r="509" spans="2:35" ht="42" x14ac:dyDescent="0.35">
      <c r="B509" s="23">
        <v>20260482</v>
      </c>
      <c r="C509" s="97" t="s">
        <v>638</v>
      </c>
      <c r="D509" s="23" t="s">
        <v>105</v>
      </c>
      <c r="E509" s="23" t="s">
        <v>363</v>
      </c>
      <c r="F509" s="163" t="s">
        <v>145</v>
      </c>
      <c r="G509" s="164" t="s">
        <v>373</v>
      </c>
      <c r="H509" s="165">
        <v>11</v>
      </c>
      <c r="I509" s="165">
        <v>0</v>
      </c>
      <c r="J509" s="122">
        <v>19705968</v>
      </c>
      <c r="K509" s="88" t="s">
        <v>398</v>
      </c>
      <c r="L509" s="163" t="s">
        <v>155</v>
      </c>
      <c r="M509" s="166" t="s">
        <v>422</v>
      </c>
      <c r="N509" s="23" t="s">
        <v>197</v>
      </c>
      <c r="O509" s="144" t="s">
        <v>886</v>
      </c>
      <c r="P509" s="163" t="s">
        <v>348</v>
      </c>
      <c r="Q509" s="53" t="s">
        <v>725</v>
      </c>
      <c r="R509" s="166" t="s">
        <v>208</v>
      </c>
      <c r="S509" s="166" t="str">
        <f>MID(PAA[[#This Row],[Meta Proyecto de Inversión]],1,4)</f>
        <v>8126</v>
      </c>
      <c r="T509" s="166" t="str">
        <f>MID(PAA[[#This Row],[Meta Proyecto de Inversión]],6,2)</f>
        <v>9-</v>
      </c>
      <c r="U509" s="167" t="str">
        <f>IFERROR(VLOOKUP(N509,TD!$B$54:$F$58,2,0)," ")</f>
        <v>O230117</v>
      </c>
      <c r="V509" s="167" t="str">
        <f>IFERROR(VLOOKUP(N509,TD!$B$54:$F$58,3,0)," ")</f>
        <v>4599</v>
      </c>
      <c r="W509" s="167">
        <f>IFERROR(VLOOKUP(N509,TD!$B$54:$F$58,4,0)," ")</f>
        <v>20240207</v>
      </c>
      <c r="X509" s="166" t="s">
        <v>174</v>
      </c>
      <c r="Y509" s="167" t="str">
        <f>IFERROR(VLOOKUP(X509,TD!$J$55:$K$68,2,0)," ")</f>
        <v>Infraestructura física, mantenimiento y dotación (Sedes construidas, mantenidas reforzadas)</v>
      </c>
      <c r="Z509" s="168" t="str">
        <f>CONCATENATE(X509,"-",Y509)</f>
        <v>08-Infraestructura física, mantenimiento y dotación (Sedes construidas, mantenidas reforzadas)</v>
      </c>
      <c r="AA509" s="166" t="s">
        <v>227</v>
      </c>
      <c r="AB509" s="167" t="str">
        <f>IFERROR(VLOOKUP(AA509,TD!$N$55:$O$70,2,0)," ")</f>
        <v>Sedes mantenidas</v>
      </c>
      <c r="AC509" s="168" t="str">
        <f>CONCATENATE(AA509,"_",AB509)</f>
        <v>016_Sedes mantenidas</v>
      </c>
      <c r="AD509" s="168" t="str">
        <f>CONCATENATE(Z509," ",AC509)</f>
        <v>08-Infraestructura física, mantenimiento y dotación (Sedes construidas, mantenidas reforzadas) 016_Sedes mantenidas</v>
      </c>
      <c r="AE509" s="167" t="str">
        <f>CONCATENATE(U509,V509,W509,X509,AA509)</f>
        <v>O23011745992024020708016</v>
      </c>
      <c r="AF509" s="167" t="str">
        <f>IFERROR(VLOOKUP(AD509,TD!$J$70:$K$93,2,0)," ")</f>
        <v>PM/0131/0108/45990160207</v>
      </c>
      <c r="AG509" s="114" t="s">
        <v>385</v>
      </c>
      <c r="AH509" s="175" t="s">
        <v>193</v>
      </c>
      <c r="AI509" s="169" t="str">
        <f>CONCATENATE(PAA[[#This Row],[Id Interno]],"-",PAA[[#This Row],[tipo de Contrato (TH talento humano - B/S bienes y/o servicios)]],"-",S509,"-",T509,"-",PAA[[#This Row],[Objeto de la contratación]])</f>
        <v>20260482-TH-8126-9--Prestación de servicios de apoyo a la gestión en la ejecución de los planes y programas de servicio al ciudadano a cargo de la Subdirección de Gestión Corporativa.-SGC</v>
      </c>
    </row>
    <row r="510" spans="2:35" ht="42" x14ac:dyDescent="0.35">
      <c r="B510" s="23">
        <v>20260483</v>
      </c>
      <c r="C510" s="97" t="s">
        <v>665</v>
      </c>
      <c r="D510" s="23" t="s">
        <v>105</v>
      </c>
      <c r="E510" s="23" t="s">
        <v>363</v>
      </c>
      <c r="F510" s="163" t="s">
        <v>145</v>
      </c>
      <c r="G510" s="164" t="s">
        <v>373</v>
      </c>
      <c r="H510" s="165">
        <v>11</v>
      </c>
      <c r="I510" s="165">
        <v>0</v>
      </c>
      <c r="J510" s="122">
        <v>36127608</v>
      </c>
      <c r="K510" s="88" t="s">
        <v>398</v>
      </c>
      <c r="L510" s="163" t="s">
        <v>155</v>
      </c>
      <c r="M510" s="166" t="s">
        <v>422</v>
      </c>
      <c r="N510" s="23" t="s">
        <v>197</v>
      </c>
      <c r="O510" s="144" t="s">
        <v>886</v>
      </c>
      <c r="P510" s="163" t="s">
        <v>348</v>
      </c>
      <c r="Q510" s="154" t="s">
        <v>725</v>
      </c>
      <c r="R510" s="166" t="s">
        <v>207</v>
      </c>
      <c r="S510" s="166" t="str">
        <f>MID(PAA[[#This Row],[Meta Proyecto de Inversión]],1,4)</f>
        <v>8126</v>
      </c>
      <c r="T510" s="166" t="str">
        <f>MID(PAA[[#This Row],[Meta Proyecto de Inversión]],6,2)</f>
        <v>8-</v>
      </c>
      <c r="U510" s="167" t="str">
        <f>IFERROR(VLOOKUP(N510,TD!$B$54:$F$58,2,0)," ")</f>
        <v>O230117</v>
      </c>
      <c r="V510" s="167" t="str">
        <f>IFERROR(VLOOKUP(N510,TD!$B$54:$F$58,3,0)," ")</f>
        <v>4599</v>
      </c>
      <c r="W510" s="167">
        <f>IFERROR(VLOOKUP(N510,TD!$B$54:$F$58,4,0)," ")</f>
        <v>20240207</v>
      </c>
      <c r="X510" s="166" t="s">
        <v>174</v>
      </c>
      <c r="Y510" s="167" t="str">
        <f>IFERROR(VLOOKUP(X510,TD!$J$55:$K$68,2,0)," ")</f>
        <v>Infraestructura física, mantenimiento y dotación (Sedes construidas, mantenidas reforzadas)</v>
      </c>
      <c r="Z510" s="168" t="str">
        <f>CONCATENATE(X510,"-",Y510)</f>
        <v>08-Infraestructura física, mantenimiento y dotación (Sedes construidas, mantenidas reforzadas)</v>
      </c>
      <c r="AA510" s="166" t="s">
        <v>227</v>
      </c>
      <c r="AB510" s="167" t="str">
        <f>IFERROR(VLOOKUP(AA510,TD!$N$55:$O$70,2,0)," ")</f>
        <v>Sedes mantenidas</v>
      </c>
      <c r="AC510" s="168" t="str">
        <f>CONCATENATE(AA510,"_",AB510)</f>
        <v>016_Sedes mantenidas</v>
      </c>
      <c r="AD510" s="168" t="str">
        <f>CONCATENATE(Z510," ",AC510)</f>
        <v>08-Infraestructura física, mantenimiento y dotación (Sedes construidas, mantenidas reforzadas) 016_Sedes mantenidas</v>
      </c>
      <c r="AE510" s="167" t="str">
        <f>CONCATENATE(U510,V510,W510,X510,AA510)</f>
        <v>O23011745992024020708016</v>
      </c>
      <c r="AF510" s="167" t="str">
        <f>IFERROR(VLOOKUP(AD510,TD!$J$70:$K$93,2,0)," ")</f>
        <v>PM/0131/0108/45990160207</v>
      </c>
      <c r="AG510" s="114" t="s">
        <v>385</v>
      </c>
      <c r="AH510" s="175" t="s">
        <v>193</v>
      </c>
      <c r="AI510" s="169" t="str">
        <f>CONCATENATE(PAA[[#This Row],[Id Interno]],"-",PAA[[#This Row],[tipo de Contrato (TH talento humano - B/S bienes y/o servicios)]],"-",S510,"-",T510,"-",PAA[[#This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511" spans="2:35" ht="70" x14ac:dyDescent="0.35">
      <c r="B511" s="23">
        <v>20260484</v>
      </c>
      <c r="C511" s="97" t="s">
        <v>665</v>
      </c>
      <c r="D511" s="23" t="s">
        <v>105</v>
      </c>
      <c r="E511" s="23" t="s">
        <v>363</v>
      </c>
      <c r="F511" s="163" t="s">
        <v>145</v>
      </c>
      <c r="G511" s="164" t="s">
        <v>373</v>
      </c>
      <c r="H511" s="165">
        <v>11</v>
      </c>
      <c r="I511" s="165">
        <v>0</v>
      </c>
      <c r="J511" s="122">
        <v>36127608</v>
      </c>
      <c r="K511" s="88" t="s">
        <v>398</v>
      </c>
      <c r="L511" s="163" t="s">
        <v>155</v>
      </c>
      <c r="M511" s="166" t="s">
        <v>422</v>
      </c>
      <c r="N511" s="23" t="s">
        <v>197</v>
      </c>
      <c r="O511" s="144" t="s">
        <v>886</v>
      </c>
      <c r="P511" s="163" t="s">
        <v>348</v>
      </c>
      <c r="Q511" s="53" t="s">
        <v>725</v>
      </c>
      <c r="R511" s="166" t="s">
        <v>207</v>
      </c>
      <c r="S511" s="166" t="str">
        <f>MID(PAA[[#This Row],[Meta Proyecto de Inversión]],1,4)</f>
        <v>8126</v>
      </c>
      <c r="T511" s="166" t="str">
        <f>MID(PAA[[#This Row],[Meta Proyecto de Inversión]],6,2)</f>
        <v>8-</v>
      </c>
      <c r="U511" s="167" t="str">
        <f>IFERROR(VLOOKUP(N511,TD!$B$54:$F$58,2,0)," ")</f>
        <v>O230117</v>
      </c>
      <c r="V511" s="167" t="str">
        <f>IFERROR(VLOOKUP(N511,TD!$B$54:$F$58,3,0)," ")</f>
        <v>4599</v>
      </c>
      <c r="W511" s="167">
        <f>IFERROR(VLOOKUP(N511,TD!$B$54:$F$58,4,0)," ")</f>
        <v>20240207</v>
      </c>
      <c r="X511" s="166" t="s">
        <v>174</v>
      </c>
      <c r="Y511" s="167" t="str">
        <f>IFERROR(VLOOKUP(X511,TD!$J$55:$K$68,2,0)," ")</f>
        <v>Infraestructura física, mantenimiento y dotación (Sedes construidas, mantenidas reforzadas)</v>
      </c>
      <c r="Z511" s="168" t="str">
        <f>CONCATENATE(X511,"-",Y511)</f>
        <v>08-Infraestructura física, mantenimiento y dotación (Sedes construidas, mantenidas reforzadas)</v>
      </c>
      <c r="AA511" s="166" t="s">
        <v>227</v>
      </c>
      <c r="AB511" s="167" t="str">
        <f>IFERROR(VLOOKUP(AA511,TD!$N$55:$O$70,2,0)," ")</f>
        <v>Sedes mantenidas</v>
      </c>
      <c r="AC511" s="168" t="str">
        <f>CONCATENATE(AA511,"_",AB511)</f>
        <v>016_Sedes mantenidas</v>
      </c>
      <c r="AD511" s="168" t="str">
        <f>CONCATENATE(Z511," ",AC511)</f>
        <v>08-Infraestructura física, mantenimiento y dotación (Sedes construidas, mantenidas reforzadas) 016_Sedes mantenidas</v>
      </c>
      <c r="AE511" s="167" t="str">
        <f>CONCATENATE(U511,V511,W511,X511,AA511)</f>
        <v>O23011745992024020708016</v>
      </c>
      <c r="AF511" s="167" t="str">
        <f>IFERROR(VLOOKUP(AD511,TD!$J$70:$K$93,2,0)," ")</f>
        <v>PM/0131/0108/45990160207</v>
      </c>
      <c r="AG511" s="114" t="s">
        <v>385</v>
      </c>
      <c r="AH511" s="175" t="s">
        <v>193</v>
      </c>
      <c r="AI511" s="169" t="str">
        <f>CONCATENATE(PAA[[#This Row],[Id Interno]],"-",PAA[[#This Row],[tipo de Contrato (TH talento humano - B/S bienes y/o servicios)]],"-",S511,"-",T511,"-",PAA[[#This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512" spans="2:35" ht="70" x14ac:dyDescent="0.35">
      <c r="B512" s="23">
        <v>20260485</v>
      </c>
      <c r="C512" s="97" t="s">
        <v>665</v>
      </c>
      <c r="D512" s="23" t="s">
        <v>105</v>
      </c>
      <c r="E512" s="23" t="s">
        <v>363</v>
      </c>
      <c r="F512" s="163" t="s">
        <v>145</v>
      </c>
      <c r="G512" s="164" t="s">
        <v>373</v>
      </c>
      <c r="H512" s="165">
        <v>11</v>
      </c>
      <c r="I512" s="165">
        <v>0</v>
      </c>
      <c r="J512" s="122">
        <v>36127608</v>
      </c>
      <c r="K512" s="88" t="s">
        <v>398</v>
      </c>
      <c r="L512" s="163" t="s">
        <v>155</v>
      </c>
      <c r="M512" s="166" t="s">
        <v>422</v>
      </c>
      <c r="N512" s="23" t="s">
        <v>197</v>
      </c>
      <c r="O512" s="144" t="s">
        <v>886</v>
      </c>
      <c r="P512" s="163" t="s">
        <v>348</v>
      </c>
      <c r="Q512" s="53" t="s">
        <v>725</v>
      </c>
      <c r="R512" s="166" t="s">
        <v>207</v>
      </c>
      <c r="S512" s="166" t="str">
        <f>MID(PAA[[#This Row],[Meta Proyecto de Inversión]],1,4)</f>
        <v>8126</v>
      </c>
      <c r="T512" s="166" t="str">
        <f>MID(PAA[[#This Row],[Meta Proyecto de Inversión]],6,2)</f>
        <v>8-</v>
      </c>
      <c r="U512" s="167" t="str">
        <f>IFERROR(VLOOKUP(N512,TD!$B$54:$F$58,2,0)," ")</f>
        <v>O230117</v>
      </c>
      <c r="V512" s="167" t="str">
        <f>IFERROR(VLOOKUP(N512,TD!$B$54:$F$58,3,0)," ")</f>
        <v>4599</v>
      </c>
      <c r="W512" s="167">
        <f>IFERROR(VLOOKUP(N512,TD!$B$54:$F$58,4,0)," ")</f>
        <v>20240207</v>
      </c>
      <c r="X512" s="166" t="s">
        <v>174</v>
      </c>
      <c r="Y512" s="167" t="str">
        <f>IFERROR(VLOOKUP(X512,TD!$J$55:$K$68,2,0)," ")</f>
        <v>Infraestructura física, mantenimiento y dotación (Sedes construidas, mantenidas reforzadas)</v>
      </c>
      <c r="Z512" s="168" t="str">
        <f>CONCATENATE(X512,"-",Y512)</f>
        <v>08-Infraestructura física, mantenimiento y dotación (Sedes construidas, mantenidas reforzadas)</v>
      </c>
      <c r="AA512" s="166" t="s">
        <v>227</v>
      </c>
      <c r="AB512" s="167" t="str">
        <f>IFERROR(VLOOKUP(AA512,TD!$N$55:$O$70,2,0)," ")</f>
        <v>Sedes mantenidas</v>
      </c>
      <c r="AC512" s="168" t="str">
        <f>CONCATENATE(AA512,"_",AB512)</f>
        <v>016_Sedes mantenidas</v>
      </c>
      <c r="AD512" s="168" t="str">
        <f>CONCATENATE(Z512," ",AC512)</f>
        <v>08-Infraestructura física, mantenimiento y dotación (Sedes construidas, mantenidas reforzadas) 016_Sedes mantenidas</v>
      </c>
      <c r="AE512" s="167" t="str">
        <f>CONCATENATE(U512,V512,W512,X512,AA512)</f>
        <v>O23011745992024020708016</v>
      </c>
      <c r="AF512" s="167" t="str">
        <f>IFERROR(VLOOKUP(AD512,TD!$J$70:$K$93,2,0)," ")</f>
        <v>PM/0131/0108/45990160207</v>
      </c>
      <c r="AG512" s="114" t="s">
        <v>385</v>
      </c>
      <c r="AH512" s="175" t="s">
        <v>193</v>
      </c>
      <c r="AI512" s="169" t="str">
        <f>CONCATENATE(PAA[[#This Row],[Id Interno]],"-",PAA[[#This Row],[tipo de Contrato (TH talento humano - B/S bienes y/o servicios)]],"-",S512,"-",T512,"-",PAA[[#This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513" spans="2:35" ht="70" x14ac:dyDescent="0.35">
      <c r="B513" s="23">
        <v>20260486</v>
      </c>
      <c r="C513" s="97" t="s">
        <v>689</v>
      </c>
      <c r="D513" s="23" t="s">
        <v>105</v>
      </c>
      <c r="E513" s="23" t="s">
        <v>363</v>
      </c>
      <c r="F513" s="163" t="s">
        <v>144</v>
      </c>
      <c r="G513" s="164" t="s">
        <v>373</v>
      </c>
      <c r="H513" s="165">
        <v>11</v>
      </c>
      <c r="I513" s="165">
        <v>0</v>
      </c>
      <c r="J513" s="122">
        <v>100178834</v>
      </c>
      <c r="K513" s="88" t="s">
        <v>398</v>
      </c>
      <c r="L513" s="163" t="s">
        <v>155</v>
      </c>
      <c r="M513" s="166" t="s">
        <v>422</v>
      </c>
      <c r="N513" s="23" t="s">
        <v>197</v>
      </c>
      <c r="O513" s="144" t="s">
        <v>886</v>
      </c>
      <c r="P513" s="163" t="s">
        <v>348</v>
      </c>
      <c r="Q513" s="53" t="s">
        <v>725</v>
      </c>
      <c r="R513" s="166" t="s">
        <v>208</v>
      </c>
      <c r="S513" s="166" t="str">
        <f>MID(PAA[[#This Row],[Meta Proyecto de Inversión]],1,4)</f>
        <v>8126</v>
      </c>
      <c r="T513" s="166" t="str">
        <f>MID(PAA[[#This Row],[Meta Proyecto de Inversión]],6,2)</f>
        <v>9-</v>
      </c>
      <c r="U513" s="167" t="str">
        <f>IFERROR(VLOOKUP(N513,TD!$B$54:$F$58,2,0)," ")</f>
        <v>O230117</v>
      </c>
      <c r="V513" s="167" t="str">
        <f>IFERROR(VLOOKUP(N513,TD!$B$54:$F$58,3,0)," ")</f>
        <v>4599</v>
      </c>
      <c r="W513" s="167">
        <f>IFERROR(VLOOKUP(N513,TD!$B$54:$F$58,4,0)," ")</f>
        <v>20240207</v>
      </c>
      <c r="X513" s="166" t="s">
        <v>174</v>
      </c>
      <c r="Y513" s="167" t="str">
        <f>IFERROR(VLOOKUP(X513,TD!$J$55:$K$68,2,0)," ")</f>
        <v>Infraestructura física, mantenimiento y dotación (Sedes construidas, mantenidas reforzadas)</v>
      </c>
      <c r="Z513" s="168" t="str">
        <f>CONCATENATE(X513,"-",Y513)</f>
        <v>08-Infraestructura física, mantenimiento y dotación (Sedes construidas, mantenidas reforzadas)</v>
      </c>
      <c r="AA513" s="166" t="s">
        <v>227</v>
      </c>
      <c r="AB513" s="167" t="str">
        <f>IFERROR(VLOOKUP(AA513,TD!$N$55:$O$70,2,0)," ")</f>
        <v>Sedes mantenidas</v>
      </c>
      <c r="AC513" s="168" t="str">
        <f>CONCATENATE(AA513,"_",AB513)</f>
        <v>016_Sedes mantenidas</v>
      </c>
      <c r="AD513" s="168" t="str">
        <f>CONCATENATE(Z513," ",AC513)</f>
        <v>08-Infraestructura física, mantenimiento y dotación (Sedes construidas, mantenidas reforzadas) 016_Sedes mantenidas</v>
      </c>
      <c r="AE513" s="167" t="str">
        <f>CONCATENATE(U513,V513,W513,X513,AA513)</f>
        <v>O23011745992024020708016</v>
      </c>
      <c r="AF513" s="167" t="str">
        <f>IFERROR(VLOOKUP(AD513,TD!$J$70:$K$93,2,0)," ")</f>
        <v>PM/0131/0108/45990160207</v>
      </c>
      <c r="AG513" s="114" t="s">
        <v>385</v>
      </c>
      <c r="AH513" s="175" t="s">
        <v>193</v>
      </c>
      <c r="AI513" s="169" t="str">
        <f>CONCATENATE(PAA[[#This Row],[Id Interno]],"-",PAA[[#This Row],[tipo de Contrato (TH talento humano - B/S bienes y/o servicios)]],"-",S513,"-",T513,"-",PAA[[#This Row],[Objeto de la contratación]])</f>
        <v>20260486-TH-8126-9--Prestar los servicios profesionales para el acompañamiento y seguimiento de los planes y proyectos del area de inventarios de la Subdireccion de Gestión Corporativa-SGC</v>
      </c>
    </row>
    <row r="514" spans="2:35" ht="42" x14ac:dyDescent="0.35">
      <c r="B514" s="23">
        <v>20260487</v>
      </c>
      <c r="C514" s="97" t="s">
        <v>690</v>
      </c>
      <c r="D514" s="23" t="s">
        <v>105</v>
      </c>
      <c r="E514" s="23" t="s">
        <v>363</v>
      </c>
      <c r="F514" s="163" t="s">
        <v>144</v>
      </c>
      <c r="G514" s="164" t="s">
        <v>373</v>
      </c>
      <c r="H514" s="165">
        <v>11</v>
      </c>
      <c r="I514" s="165">
        <v>0</v>
      </c>
      <c r="J514" s="122">
        <v>56771957</v>
      </c>
      <c r="K514" s="88" t="s">
        <v>398</v>
      </c>
      <c r="L514" s="163" t="s">
        <v>155</v>
      </c>
      <c r="M514" s="166" t="s">
        <v>422</v>
      </c>
      <c r="N514" s="23" t="s">
        <v>197</v>
      </c>
      <c r="O514" s="144" t="s">
        <v>886</v>
      </c>
      <c r="P514" s="163" t="s">
        <v>348</v>
      </c>
      <c r="Q514" s="53" t="s">
        <v>725</v>
      </c>
      <c r="R514" s="166" t="s">
        <v>208</v>
      </c>
      <c r="S514" s="166" t="str">
        <f>MID(PAA[[#This Row],[Meta Proyecto de Inversión]],1,4)</f>
        <v>8126</v>
      </c>
      <c r="T514" s="166" t="str">
        <f>MID(PAA[[#This Row],[Meta Proyecto de Inversión]],6,2)</f>
        <v>9-</v>
      </c>
      <c r="U514" s="167" t="str">
        <f>IFERROR(VLOOKUP(N514,TD!$B$54:$F$58,2,0)," ")</f>
        <v>O230117</v>
      </c>
      <c r="V514" s="167" t="str">
        <f>IFERROR(VLOOKUP(N514,TD!$B$54:$F$58,3,0)," ")</f>
        <v>4599</v>
      </c>
      <c r="W514" s="167">
        <f>IFERROR(VLOOKUP(N514,TD!$B$54:$F$58,4,0)," ")</f>
        <v>20240207</v>
      </c>
      <c r="X514" s="166" t="s">
        <v>174</v>
      </c>
      <c r="Y514" s="167" t="str">
        <f>IFERROR(VLOOKUP(X514,TD!$J$55:$K$68,2,0)," ")</f>
        <v>Infraestructura física, mantenimiento y dotación (Sedes construidas, mantenidas reforzadas)</v>
      </c>
      <c r="Z514" s="168" t="str">
        <f>CONCATENATE(X514,"-",Y514)</f>
        <v>08-Infraestructura física, mantenimiento y dotación (Sedes construidas, mantenidas reforzadas)</v>
      </c>
      <c r="AA514" s="166" t="s">
        <v>227</v>
      </c>
      <c r="AB514" s="167" t="str">
        <f>IFERROR(VLOOKUP(AA514,TD!$N$55:$O$70,2,0)," ")</f>
        <v>Sedes mantenidas</v>
      </c>
      <c r="AC514" s="168" t="str">
        <f>CONCATENATE(AA514,"_",AB514)</f>
        <v>016_Sedes mantenidas</v>
      </c>
      <c r="AD514" s="168" t="str">
        <f>CONCATENATE(Z514," ",AC514)</f>
        <v>08-Infraestructura física, mantenimiento y dotación (Sedes construidas, mantenidas reforzadas) 016_Sedes mantenidas</v>
      </c>
      <c r="AE514" s="167" t="str">
        <f>CONCATENATE(U514,V514,W514,X514,AA514)</f>
        <v>O23011745992024020708016</v>
      </c>
      <c r="AF514" s="167" t="str">
        <f>IFERROR(VLOOKUP(AD514,TD!$J$70:$K$93,2,0)," ")</f>
        <v>PM/0131/0108/45990160207</v>
      </c>
      <c r="AG514" s="114" t="s">
        <v>385</v>
      </c>
      <c r="AH514" s="175" t="s">
        <v>193</v>
      </c>
      <c r="AI514" s="169" t="str">
        <f>CONCATENATE(PAA[[#This Row],[Id Interno]],"-",PAA[[#This Row],[tipo de Contrato (TH talento humano - B/S bienes y/o servicios)]],"-",S514,"-",T514,"-",PAA[[#This Row],[Objeto de la contratación]])</f>
        <v>20260487-TH-8126-9--Prestar los servicios profesionales en el area de inventarios de la Subdireccion de Gestión Corporativa-SGC</v>
      </c>
    </row>
    <row r="515" spans="2:35" ht="42" x14ac:dyDescent="0.35">
      <c r="B515" s="23">
        <v>20260488</v>
      </c>
      <c r="C515" s="97" t="s">
        <v>691</v>
      </c>
      <c r="D515" s="23" t="s">
        <v>105</v>
      </c>
      <c r="E515" s="23" t="s">
        <v>363</v>
      </c>
      <c r="F515" s="163" t="s">
        <v>145</v>
      </c>
      <c r="G515" s="164" t="s">
        <v>373</v>
      </c>
      <c r="H515" s="165">
        <v>10</v>
      </c>
      <c r="I515" s="165">
        <v>0</v>
      </c>
      <c r="J515" s="122">
        <v>38078099</v>
      </c>
      <c r="K515" s="88" t="s">
        <v>398</v>
      </c>
      <c r="L515" s="163" t="s">
        <v>155</v>
      </c>
      <c r="M515" s="166" t="s">
        <v>422</v>
      </c>
      <c r="N515" s="23" t="s">
        <v>197</v>
      </c>
      <c r="O515" s="144" t="s">
        <v>886</v>
      </c>
      <c r="P515" s="163" t="s">
        <v>348</v>
      </c>
      <c r="Q515" s="53" t="s">
        <v>725</v>
      </c>
      <c r="R515" s="166" t="s">
        <v>208</v>
      </c>
      <c r="S515" s="166" t="str">
        <f>MID(PAA[[#This Row],[Meta Proyecto de Inversión]],1,4)</f>
        <v>8126</v>
      </c>
      <c r="T515" s="166" t="str">
        <f>MID(PAA[[#This Row],[Meta Proyecto de Inversión]],6,2)</f>
        <v>9-</v>
      </c>
      <c r="U515" s="167" t="str">
        <f>IFERROR(VLOOKUP(N515,TD!$B$54:$F$58,2,0)," ")</f>
        <v>O230117</v>
      </c>
      <c r="V515" s="167" t="str">
        <f>IFERROR(VLOOKUP(N515,TD!$B$54:$F$58,3,0)," ")</f>
        <v>4599</v>
      </c>
      <c r="W515" s="167">
        <f>IFERROR(VLOOKUP(N515,TD!$B$54:$F$58,4,0)," ")</f>
        <v>20240207</v>
      </c>
      <c r="X515" s="166" t="s">
        <v>174</v>
      </c>
      <c r="Y515" s="167" t="str">
        <f>IFERROR(VLOOKUP(X515,TD!$J$55:$K$68,2,0)," ")</f>
        <v>Infraestructura física, mantenimiento y dotación (Sedes construidas, mantenidas reforzadas)</v>
      </c>
      <c r="Z515" s="168" t="str">
        <f>CONCATENATE(X515,"-",Y515)</f>
        <v>08-Infraestructura física, mantenimiento y dotación (Sedes construidas, mantenidas reforzadas)</v>
      </c>
      <c r="AA515" s="166" t="s">
        <v>227</v>
      </c>
      <c r="AB515" s="167" t="str">
        <f>IFERROR(VLOOKUP(AA515,TD!$N$55:$O$70,2,0)," ")</f>
        <v>Sedes mantenidas</v>
      </c>
      <c r="AC515" s="168" t="str">
        <f>CONCATENATE(AA515,"_",AB515)</f>
        <v>016_Sedes mantenidas</v>
      </c>
      <c r="AD515" s="168" t="str">
        <f>CONCATENATE(Z515," ",AC515)</f>
        <v>08-Infraestructura física, mantenimiento y dotación (Sedes construidas, mantenidas reforzadas) 016_Sedes mantenidas</v>
      </c>
      <c r="AE515" s="167" t="str">
        <f>CONCATENATE(U515,V515,W515,X515,AA515)</f>
        <v>O23011745992024020708016</v>
      </c>
      <c r="AF515" s="167" t="str">
        <f>IFERROR(VLOOKUP(AD515,TD!$J$70:$K$93,2,0)," ")</f>
        <v>PM/0131/0108/45990160207</v>
      </c>
      <c r="AG515" s="114" t="s">
        <v>385</v>
      </c>
      <c r="AH515" s="175" t="s">
        <v>193</v>
      </c>
      <c r="AI515" s="169" t="str">
        <f>CONCATENATE(PAA[[#This Row],[Id Interno]],"-",PAA[[#This Row],[tipo de Contrato (TH talento humano - B/S bienes y/o servicios)]],"-",S515,"-",T515,"-",PAA[[#This Row],[Objeto de la contratación]])</f>
        <v>20260488-TH-8126-9--Prestación de servicios de apoyo en las actividades asociadas a los procesos administrativo de la Subdirección de Gestión Corporativa- SGC</v>
      </c>
    </row>
    <row r="516" spans="2:35" ht="42" x14ac:dyDescent="0.35">
      <c r="B516" s="23">
        <v>20260489</v>
      </c>
      <c r="C516" s="97" t="s">
        <v>692</v>
      </c>
      <c r="D516" s="23" t="s">
        <v>105</v>
      </c>
      <c r="E516" s="23" t="s">
        <v>363</v>
      </c>
      <c r="F516" s="163" t="s">
        <v>144</v>
      </c>
      <c r="G516" s="164" t="s">
        <v>373</v>
      </c>
      <c r="H516" s="165">
        <v>11</v>
      </c>
      <c r="I516" s="165">
        <v>0</v>
      </c>
      <c r="J516" s="122">
        <v>77000000</v>
      </c>
      <c r="K516" s="88" t="s">
        <v>398</v>
      </c>
      <c r="L516" s="163" t="s">
        <v>155</v>
      </c>
      <c r="M516" s="166" t="s">
        <v>422</v>
      </c>
      <c r="N516" s="23" t="s">
        <v>197</v>
      </c>
      <c r="O516" s="144" t="s">
        <v>886</v>
      </c>
      <c r="P516" s="163" t="s">
        <v>348</v>
      </c>
      <c r="Q516" s="53" t="s">
        <v>725</v>
      </c>
      <c r="R516" s="166" t="s">
        <v>208</v>
      </c>
      <c r="S516" s="166" t="str">
        <f>MID(PAA[[#This Row],[Meta Proyecto de Inversión]],1,4)</f>
        <v>8126</v>
      </c>
      <c r="T516" s="166" t="str">
        <f>MID(PAA[[#This Row],[Meta Proyecto de Inversión]],6,2)</f>
        <v>9-</v>
      </c>
      <c r="U516" s="167" t="str">
        <f>IFERROR(VLOOKUP(N516,TD!$B$54:$F$58,2,0)," ")</f>
        <v>O230117</v>
      </c>
      <c r="V516" s="167" t="str">
        <f>IFERROR(VLOOKUP(N516,TD!$B$54:$F$58,3,0)," ")</f>
        <v>4599</v>
      </c>
      <c r="W516" s="167">
        <f>IFERROR(VLOOKUP(N516,TD!$B$54:$F$58,4,0)," ")</f>
        <v>20240207</v>
      </c>
      <c r="X516" s="166" t="s">
        <v>174</v>
      </c>
      <c r="Y516" s="167" t="str">
        <f>IFERROR(VLOOKUP(X516,TD!$J$55:$K$68,2,0)," ")</f>
        <v>Infraestructura física, mantenimiento y dotación (Sedes construidas, mantenidas reforzadas)</v>
      </c>
      <c r="Z516" s="168" t="str">
        <f>CONCATENATE(X516,"-",Y516)</f>
        <v>08-Infraestructura física, mantenimiento y dotación (Sedes construidas, mantenidas reforzadas)</v>
      </c>
      <c r="AA516" s="166" t="s">
        <v>227</v>
      </c>
      <c r="AB516" s="167" t="str">
        <f>IFERROR(VLOOKUP(AA516,TD!$N$55:$O$70,2,0)," ")</f>
        <v>Sedes mantenidas</v>
      </c>
      <c r="AC516" s="168" t="str">
        <f>CONCATENATE(AA516,"_",AB516)</f>
        <v>016_Sedes mantenidas</v>
      </c>
      <c r="AD516" s="168" t="str">
        <f>CONCATENATE(Z516," ",AC516)</f>
        <v>08-Infraestructura física, mantenimiento y dotación (Sedes construidas, mantenidas reforzadas) 016_Sedes mantenidas</v>
      </c>
      <c r="AE516" s="167" t="str">
        <f>CONCATENATE(U516,V516,W516,X516,AA516)</f>
        <v>O23011745992024020708016</v>
      </c>
      <c r="AF516" s="167" t="str">
        <f>IFERROR(VLOOKUP(AD516,TD!$J$70:$K$93,2,0)," ")</f>
        <v>PM/0131/0108/45990160207</v>
      </c>
      <c r="AG516" s="114" t="s">
        <v>385</v>
      </c>
      <c r="AH516" s="175" t="s">
        <v>193</v>
      </c>
      <c r="AI516" s="169" t="str">
        <f>CONCATENATE(PAA[[#This Row],[Id Interno]],"-",PAA[[#This Row],[tipo de Contrato (TH talento humano - B/S bienes y/o servicios)]],"-",S516,"-",T516,"-",PAA[[#This Row],[Objeto de la contratación]])</f>
        <v>20260489-TH-8126-9--Prestar los servicios profesionales para el acompañamiento y seguimiento de los planes y proyectos del grupo del almacén de la Subdireccion de Gestión Corporativa-SGC</v>
      </c>
    </row>
    <row r="517" spans="2:35" ht="42" x14ac:dyDescent="0.35">
      <c r="B517" s="23">
        <v>20260490</v>
      </c>
      <c r="C517" s="97" t="s">
        <v>685</v>
      </c>
      <c r="D517" s="23" t="s">
        <v>105</v>
      </c>
      <c r="E517" s="23" t="s">
        <v>363</v>
      </c>
      <c r="F517" s="163" t="s">
        <v>144</v>
      </c>
      <c r="G517" s="164" t="s">
        <v>373</v>
      </c>
      <c r="H517" s="165">
        <v>11</v>
      </c>
      <c r="I517" s="165">
        <v>0</v>
      </c>
      <c r="J517" s="122">
        <v>56771957</v>
      </c>
      <c r="K517" s="88" t="s">
        <v>398</v>
      </c>
      <c r="L517" s="163" t="s">
        <v>155</v>
      </c>
      <c r="M517" s="166" t="s">
        <v>422</v>
      </c>
      <c r="N517" s="23" t="s">
        <v>197</v>
      </c>
      <c r="O517" s="144" t="s">
        <v>886</v>
      </c>
      <c r="P517" s="163" t="s">
        <v>348</v>
      </c>
      <c r="Q517" s="53" t="s">
        <v>725</v>
      </c>
      <c r="R517" s="166" t="s">
        <v>207</v>
      </c>
      <c r="S517" s="166" t="str">
        <f>MID(PAA[[#This Row],[Meta Proyecto de Inversión]],1,4)</f>
        <v>8126</v>
      </c>
      <c r="T517" s="166" t="str">
        <f>MID(PAA[[#This Row],[Meta Proyecto de Inversión]],6,2)</f>
        <v>8-</v>
      </c>
      <c r="U517" s="167" t="str">
        <f>IFERROR(VLOOKUP(N517,TD!$B$54:$F$58,2,0)," ")</f>
        <v>O230117</v>
      </c>
      <c r="V517" s="167" t="str">
        <f>IFERROR(VLOOKUP(N517,TD!$B$54:$F$58,3,0)," ")</f>
        <v>4599</v>
      </c>
      <c r="W517" s="167">
        <f>IFERROR(VLOOKUP(N517,TD!$B$54:$F$58,4,0)," ")</f>
        <v>20240207</v>
      </c>
      <c r="X517" s="166" t="s">
        <v>174</v>
      </c>
      <c r="Y517" s="167" t="str">
        <f>IFERROR(VLOOKUP(X517,TD!$J$55:$K$68,2,0)," ")</f>
        <v>Infraestructura física, mantenimiento y dotación (Sedes construidas, mantenidas reforzadas)</v>
      </c>
      <c r="Z517" s="168" t="str">
        <f>CONCATENATE(X517,"-",Y517)</f>
        <v>08-Infraestructura física, mantenimiento y dotación (Sedes construidas, mantenidas reforzadas)</v>
      </c>
      <c r="AA517" s="166" t="s">
        <v>227</v>
      </c>
      <c r="AB517" s="167" t="str">
        <f>IFERROR(VLOOKUP(AA517,TD!$N$55:$O$70,2,0)," ")</f>
        <v>Sedes mantenidas</v>
      </c>
      <c r="AC517" s="168" t="str">
        <f>CONCATENATE(AA517,"_",AB517)</f>
        <v>016_Sedes mantenidas</v>
      </c>
      <c r="AD517" s="168" t="str">
        <f>CONCATENATE(Z517," ",AC517)</f>
        <v>08-Infraestructura física, mantenimiento y dotación (Sedes construidas, mantenidas reforzadas) 016_Sedes mantenidas</v>
      </c>
      <c r="AE517" s="167" t="str">
        <f>CONCATENATE(U517,V517,W517,X517,AA517)</f>
        <v>O23011745992024020708016</v>
      </c>
      <c r="AF517" s="167" t="str">
        <f>IFERROR(VLOOKUP(AD517,TD!$J$70:$K$93,2,0)," ")</f>
        <v>PM/0131/0108/45990160207</v>
      </c>
      <c r="AG517" s="114" t="s">
        <v>385</v>
      </c>
      <c r="AH517" s="175" t="s">
        <v>193</v>
      </c>
      <c r="AI517" s="169" t="str">
        <f>CONCATENATE(PAA[[#This Row],[Id Interno]],"-",PAA[[#This Row],[tipo de Contrato (TH talento humano - B/S bienes y/o servicios)]],"-",S517,"-",T517,"-",PAA[[#This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518" spans="2:35" ht="84" x14ac:dyDescent="0.35">
      <c r="B518" s="23">
        <v>20260491</v>
      </c>
      <c r="C518" s="97" t="s">
        <v>693</v>
      </c>
      <c r="D518" s="23" t="s">
        <v>105</v>
      </c>
      <c r="E518" s="23" t="s">
        <v>363</v>
      </c>
      <c r="F518" s="163" t="s">
        <v>144</v>
      </c>
      <c r="G518" s="164" t="s">
        <v>373</v>
      </c>
      <c r="H518" s="165">
        <v>6</v>
      </c>
      <c r="I518" s="165">
        <v>0</v>
      </c>
      <c r="J518" s="122">
        <v>42000000</v>
      </c>
      <c r="K518" s="88" t="s">
        <v>398</v>
      </c>
      <c r="L518" s="163" t="s">
        <v>155</v>
      </c>
      <c r="M518" s="166" t="s">
        <v>422</v>
      </c>
      <c r="N518" s="23" t="s">
        <v>197</v>
      </c>
      <c r="O518" s="144" t="s">
        <v>886</v>
      </c>
      <c r="P518" s="163" t="s">
        <v>348</v>
      </c>
      <c r="Q518" s="53" t="s">
        <v>725</v>
      </c>
      <c r="R518" s="166" t="s">
        <v>208</v>
      </c>
      <c r="S518" s="166" t="str">
        <f>MID(PAA[[#This Row],[Meta Proyecto de Inversión]],1,4)</f>
        <v>8126</v>
      </c>
      <c r="T518" s="166" t="str">
        <f>MID(PAA[[#This Row],[Meta Proyecto de Inversión]],6,2)</f>
        <v>9-</v>
      </c>
      <c r="U518" s="167" t="str">
        <f>IFERROR(VLOOKUP(N518,TD!$B$54:$F$58,2,0)," ")</f>
        <v>O230117</v>
      </c>
      <c r="V518" s="167" t="str">
        <f>IFERROR(VLOOKUP(N518,TD!$B$54:$F$58,3,0)," ")</f>
        <v>4599</v>
      </c>
      <c r="W518" s="167">
        <f>IFERROR(VLOOKUP(N518,TD!$B$54:$F$58,4,0)," ")</f>
        <v>20240207</v>
      </c>
      <c r="X518" s="166" t="s">
        <v>174</v>
      </c>
      <c r="Y518" s="167" t="str">
        <f>IFERROR(VLOOKUP(X518,TD!$J$55:$K$68,2,0)," ")</f>
        <v>Infraestructura física, mantenimiento y dotación (Sedes construidas, mantenidas reforzadas)</v>
      </c>
      <c r="Z518" s="168" t="str">
        <f>CONCATENATE(X518,"-",Y518)</f>
        <v>08-Infraestructura física, mantenimiento y dotación (Sedes construidas, mantenidas reforzadas)</v>
      </c>
      <c r="AA518" s="166" t="s">
        <v>227</v>
      </c>
      <c r="AB518" s="167" t="str">
        <f>IFERROR(VLOOKUP(AA518,TD!$N$55:$O$70,2,0)," ")</f>
        <v>Sedes mantenidas</v>
      </c>
      <c r="AC518" s="168" t="str">
        <f>CONCATENATE(AA518,"_",AB518)</f>
        <v>016_Sedes mantenidas</v>
      </c>
      <c r="AD518" s="168" t="str">
        <f>CONCATENATE(Z518," ",AC518)</f>
        <v>08-Infraestructura física, mantenimiento y dotación (Sedes construidas, mantenidas reforzadas) 016_Sedes mantenidas</v>
      </c>
      <c r="AE518" s="167" t="str">
        <f>CONCATENATE(U518,V518,W518,X518,AA518)</f>
        <v>O23011745992024020708016</v>
      </c>
      <c r="AF518" s="167" t="str">
        <f>IFERROR(VLOOKUP(AD518,TD!$J$70:$K$93,2,0)," ")</f>
        <v>PM/0131/0108/45990160207</v>
      </c>
      <c r="AG518" s="114" t="s">
        <v>385</v>
      </c>
      <c r="AH518" s="175" t="s">
        <v>193</v>
      </c>
      <c r="AI518" s="169" t="str">
        <f>CONCATENATE(PAA[[#This Row],[Id Interno]],"-",PAA[[#This Row],[tipo de Contrato (TH talento humano - B/S bienes y/o servicios)]],"-",S518,"-",T518,"-",PAA[[#This Row],[Objeto de la contratación]])</f>
        <v>20260491-TH-8126-9--Prestación de servicios profesionales en el acompañamiento y asistencia al proceso de gestión documental de la UAE Cuerpo oficial de Bomberos. -SGC</v>
      </c>
    </row>
    <row r="519" spans="2:35" ht="42" x14ac:dyDescent="0.35">
      <c r="B519" s="23">
        <v>20260492</v>
      </c>
      <c r="C519" s="97" t="s">
        <v>694</v>
      </c>
      <c r="D519" s="23" t="s">
        <v>105</v>
      </c>
      <c r="E519" s="23" t="s">
        <v>363</v>
      </c>
      <c r="F519" s="163" t="s">
        <v>144</v>
      </c>
      <c r="G519" s="164" t="s">
        <v>373</v>
      </c>
      <c r="H519" s="165">
        <v>11</v>
      </c>
      <c r="I519" s="165">
        <v>0</v>
      </c>
      <c r="J519" s="122">
        <v>76800000</v>
      </c>
      <c r="K519" s="88" t="s">
        <v>398</v>
      </c>
      <c r="L519" s="163" t="s">
        <v>155</v>
      </c>
      <c r="M519" s="166" t="s">
        <v>422</v>
      </c>
      <c r="N519" s="23" t="s">
        <v>197</v>
      </c>
      <c r="O519" s="144" t="s">
        <v>886</v>
      </c>
      <c r="P519" s="163" t="s">
        <v>348</v>
      </c>
      <c r="Q519" s="53" t="s">
        <v>725</v>
      </c>
      <c r="R519" s="166" t="s">
        <v>207</v>
      </c>
      <c r="S519" s="166" t="str">
        <f>MID(PAA[[#This Row],[Meta Proyecto de Inversión]],1,4)</f>
        <v>8126</v>
      </c>
      <c r="T519" s="166" t="str">
        <f>MID(PAA[[#This Row],[Meta Proyecto de Inversión]],6,2)</f>
        <v>8-</v>
      </c>
      <c r="U519" s="167" t="str">
        <f>IFERROR(VLOOKUP(N519,TD!$B$54:$F$58,2,0)," ")</f>
        <v>O230117</v>
      </c>
      <c r="V519" s="167" t="str">
        <f>IFERROR(VLOOKUP(N519,TD!$B$54:$F$58,3,0)," ")</f>
        <v>4599</v>
      </c>
      <c r="W519" s="167">
        <f>IFERROR(VLOOKUP(N519,TD!$B$54:$F$58,4,0)," ")</f>
        <v>20240207</v>
      </c>
      <c r="X519" s="166" t="s">
        <v>174</v>
      </c>
      <c r="Y519" s="167" t="str">
        <f>IFERROR(VLOOKUP(X519,TD!$J$55:$K$68,2,0)," ")</f>
        <v>Infraestructura física, mantenimiento y dotación (Sedes construidas, mantenidas reforzadas)</v>
      </c>
      <c r="Z519" s="168" t="str">
        <f>CONCATENATE(X519,"-",Y519)</f>
        <v>08-Infraestructura física, mantenimiento y dotación (Sedes construidas, mantenidas reforzadas)</v>
      </c>
      <c r="AA519" s="166" t="s">
        <v>227</v>
      </c>
      <c r="AB519" s="167" t="str">
        <f>IFERROR(VLOOKUP(AA519,TD!$N$55:$O$70,2,0)," ")</f>
        <v>Sedes mantenidas</v>
      </c>
      <c r="AC519" s="168" t="str">
        <f>CONCATENATE(AA519,"_",AB519)</f>
        <v>016_Sedes mantenidas</v>
      </c>
      <c r="AD519" s="168" t="str">
        <f>CONCATENATE(Z519," ",AC519)</f>
        <v>08-Infraestructura física, mantenimiento y dotación (Sedes construidas, mantenidas reforzadas) 016_Sedes mantenidas</v>
      </c>
      <c r="AE519" s="167" t="str">
        <f>CONCATENATE(U519,V519,W519,X519,AA519)</f>
        <v>O23011745992024020708016</v>
      </c>
      <c r="AF519" s="167" t="str">
        <f>IFERROR(VLOOKUP(AD519,TD!$J$70:$K$93,2,0)," ")</f>
        <v>PM/0131/0108/45990160207</v>
      </c>
      <c r="AG519" s="114" t="s">
        <v>385</v>
      </c>
      <c r="AH519" s="175" t="s">
        <v>193</v>
      </c>
      <c r="AI519" s="169" t="str">
        <f>CONCATENATE(PAA[[#This Row],[Id Interno]],"-",PAA[[#This Row],[tipo de Contrato (TH talento humano - B/S bienes y/o servicios)]],"-",S519,"-",T519,"-",PAA[[#This Row],[Objeto de la contratación]])</f>
        <v>20260492-TH-8126-8--Prestación de servicios profesionales especializados para desarrollar las actividades técnicas y administrativas del Área de Infraestructura de la Subdirección de Gestión Corporativa-SGC.</v>
      </c>
    </row>
    <row r="520" spans="2:35" ht="56" x14ac:dyDescent="0.35">
      <c r="B520" s="23">
        <v>20260493</v>
      </c>
      <c r="C520" s="97" t="s">
        <v>695</v>
      </c>
      <c r="D520" s="23" t="s">
        <v>105</v>
      </c>
      <c r="E520" s="23" t="s">
        <v>363</v>
      </c>
      <c r="F520" s="163" t="s">
        <v>144</v>
      </c>
      <c r="G520" s="164" t="s">
        <v>373</v>
      </c>
      <c r="H520" s="165">
        <v>11</v>
      </c>
      <c r="I520" s="165">
        <v>0</v>
      </c>
      <c r="J520" s="122">
        <v>77000000</v>
      </c>
      <c r="K520" s="88" t="s">
        <v>398</v>
      </c>
      <c r="L520" s="163" t="s">
        <v>155</v>
      </c>
      <c r="M520" s="166" t="s">
        <v>422</v>
      </c>
      <c r="N520" s="23" t="s">
        <v>197</v>
      </c>
      <c r="O520" s="144" t="s">
        <v>886</v>
      </c>
      <c r="P520" s="163" t="s">
        <v>348</v>
      </c>
      <c r="Q520" s="53" t="s">
        <v>725</v>
      </c>
      <c r="R520" s="166" t="s">
        <v>207</v>
      </c>
      <c r="S520" s="166" t="str">
        <f>MID(PAA[[#This Row],[Meta Proyecto de Inversión]],1,4)</f>
        <v>8126</v>
      </c>
      <c r="T520" s="166" t="str">
        <f>MID(PAA[[#This Row],[Meta Proyecto de Inversión]],6,2)</f>
        <v>8-</v>
      </c>
      <c r="U520" s="167" t="str">
        <f>IFERROR(VLOOKUP(N520,TD!$B$54:$F$58,2,0)," ")</f>
        <v>O230117</v>
      </c>
      <c r="V520" s="167" t="str">
        <f>IFERROR(VLOOKUP(N520,TD!$B$54:$F$58,3,0)," ")</f>
        <v>4599</v>
      </c>
      <c r="W520" s="167">
        <f>IFERROR(VLOOKUP(N520,TD!$B$54:$F$58,4,0)," ")</f>
        <v>20240207</v>
      </c>
      <c r="X520" s="166" t="s">
        <v>174</v>
      </c>
      <c r="Y520" s="167" t="str">
        <f>IFERROR(VLOOKUP(X520,TD!$J$55:$K$68,2,0)," ")</f>
        <v>Infraestructura física, mantenimiento y dotación (Sedes construidas, mantenidas reforzadas)</v>
      </c>
      <c r="Z520" s="168" t="str">
        <f>CONCATENATE(X520,"-",Y520)</f>
        <v>08-Infraestructura física, mantenimiento y dotación (Sedes construidas, mantenidas reforzadas)</v>
      </c>
      <c r="AA520" s="166" t="s">
        <v>227</v>
      </c>
      <c r="AB520" s="167" t="str">
        <f>IFERROR(VLOOKUP(AA520,TD!$N$55:$O$70,2,0)," ")</f>
        <v>Sedes mantenidas</v>
      </c>
      <c r="AC520" s="168" t="str">
        <f>CONCATENATE(AA520,"_",AB520)</f>
        <v>016_Sedes mantenidas</v>
      </c>
      <c r="AD520" s="168" t="str">
        <f>CONCATENATE(Z520," ",AC520)</f>
        <v>08-Infraestructura física, mantenimiento y dotación (Sedes construidas, mantenidas reforzadas) 016_Sedes mantenidas</v>
      </c>
      <c r="AE520" s="167" t="str">
        <f>CONCATENATE(U520,V520,W520,X520,AA520)</f>
        <v>O23011745992024020708016</v>
      </c>
      <c r="AF520" s="167" t="str">
        <f>IFERROR(VLOOKUP(AD520,TD!$J$70:$K$93,2,0)," ")</f>
        <v>PM/0131/0108/45990160207</v>
      </c>
      <c r="AG520" s="114" t="s">
        <v>385</v>
      </c>
      <c r="AH520" s="175" t="s">
        <v>193</v>
      </c>
      <c r="AI520" s="169" t="str">
        <f>CONCATENATE(PAA[[#This Row],[Id Interno]],"-",PAA[[#This Row],[tipo de Contrato (TH talento humano - B/S bienes y/o servicios)]],"-",S520,"-",T520,"-",PAA[[#This Row],[Objeto de la contratación]])</f>
        <v>20260493-TH-8126-8--Prestación de servicios profesionales especializados para desarrollar las actividades técnicas y administrativas del Área de Infraestructura de la Subdirección de Gestión Corporativa-SGC</v>
      </c>
    </row>
    <row r="521" spans="2:35" ht="56" x14ac:dyDescent="0.35">
      <c r="B521" s="23">
        <v>20260494</v>
      </c>
      <c r="C521" s="97" t="s">
        <v>696</v>
      </c>
      <c r="D521" s="23" t="s">
        <v>105</v>
      </c>
      <c r="E521" s="23" t="s">
        <v>363</v>
      </c>
      <c r="F521" s="163" t="s">
        <v>144</v>
      </c>
      <c r="G521" s="164" t="s">
        <v>373</v>
      </c>
      <c r="H521" s="165">
        <v>6</v>
      </c>
      <c r="I521" s="165">
        <v>0</v>
      </c>
      <c r="J521" s="122">
        <v>42000000</v>
      </c>
      <c r="K521" s="88" t="s">
        <v>398</v>
      </c>
      <c r="L521" s="163" t="s">
        <v>155</v>
      </c>
      <c r="M521" s="166" t="s">
        <v>422</v>
      </c>
      <c r="N521" s="23" t="s">
        <v>197</v>
      </c>
      <c r="O521" s="144" t="s">
        <v>886</v>
      </c>
      <c r="P521" s="224" t="s">
        <v>348</v>
      </c>
      <c r="Q521" s="53" t="s">
        <v>725</v>
      </c>
      <c r="R521" s="166" t="s">
        <v>207</v>
      </c>
      <c r="S521" s="166" t="str">
        <f>MID(PAA[[#This Row],[Meta Proyecto de Inversión]],1,4)</f>
        <v>8126</v>
      </c>
      <c r="T521" s="166" t="str">
        <f>MID(PAA[[#This Row],[Meta Proyecto de Inversión]],6,2)</f>
        <v>8-</v>
      </c>
      <c r="U521" s="167" t="str">
        <f>IFERROR(VLOOKUP(N521,TD!$B$54:$F$58,2,0)," ")</f>
        <v>O230117</v>
      </c>
      <c r="V521" s="167" t="str">
        <f>IFERROR(VLOOKUP(N521,TD!$B$54:$F$58,3,0)," ")</f>
        <v>4599</v>
      </c>
      <c r="W521" s="167">
        <f>IFERROR(VLOOKUP(N521,TD!$B$54:$F$58,4,0)," ")</f>
        <v>20240207</v>
      </c>
      <c r="X521" s="166" t="s">
        <v>174</v>
      </c>
      <c r="Y521" s="167" t="str">
        <f>IFERROR(VLOOKUP(X521,TD!$J$55:$K$68,2,0)," ")</f>
        <v>Infraestructura física, mantenimiento y dotación (Sedes construidas, mantenidas reforzadas)</v>
      </c>
      <c r="Z521" s="168" t="str">
        <f>CONCATENATE(X521,"-",Y521)</f>
        <v>08-Infraestructura física, mantenimiento y dotación (Sedes construidas, mantenidas reforzadas)</v>
      </c>
      <c r="AA521" s="166" t="s">
        <v>227</v>
      </c>
      <c r="AB521" s="167" t="str">
        <f>IFERROR(VLOOKUP(AA521,TD!$N$55:$O$70,2,0)," ")</f>
        <v>Sedes mantenidas</v>
      </c>
      <c r="AC521" s="168" t="str">
        <f>CONCATENATE(AA521,"_",AB521)</f>
        <v>016_Sedes mantenidas</v>
      </c>
      <c r="AD521" s="168" t="str">
        <f>CONCATENATE(Z521," ",AC521)</f>
        <v>08-Infraestructura física, mantenimiento y dotación (Sedes construidas, mantenidas reforzadas) 016_Sedes mantenidas</v>
      </c>
      <c r="AE521" s="167" t="str">
        <f>CONCATENATE(U521,V521,W521,X521,AA521)</f>
        <v>O23011745992024020708016</v>
      </c>
      <c r="AF521" s="167" t="str">
        <f>IFERROR(VLOOKUP(AD521,TD!$J$70:$K$93,2,0)," ")</f>
        <v>PM/0131/0108/45990160207</v>
      </c>
      <c r="AG521" s="114" t="s">
        <v>385</v>
      </c>
      <c r="AH521" s="175" t="s">
        <v>193</v>
      </c>
      <c r="AI521" s="169" t="str">
        <f>CONCATENATE(PAA[[#This Row],[Id Interno]],"-",PAA[[#This Row],[tipo de Contrato (TH talento humano - B/S bienes y/o servicios)]],"-",S521,"-",T521,"-",PAA[[#This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522" spans="2:35" ht="56" x14ac:dyDescent="0.35">
      <c r="B522" s="97">
        <v>20260495</v>
      </c>
      <c r="C522" s="97" t="s">
        <v>697</v>
      </c>
      <c r="D522" s="97" t="s">
        <v>114</v>
      </c>
      <c r="E522" s="97" t="s">
        <v>402</v>
      </c>
      <c r="F522" s="164" t="s">
        <v>89</v>
      </c>
      <c r="G522" s="164" t="s">
        <v>374</v>
      </c>
      <c r="H522" s="170">
        <v>10</v>
      </c>
      <c r="I522" s="170">
        <v>0</v>
      </c>
      <c r="J522" s="114">
        <v>91253900</v>
      </c>
      <c r="K522" s="121" t="s">
        <v>398</v>
      </c>
      <c r="L522" s="164" t="s">
        <v>155</v>
      </c>
      <c r="M522" s="171" t="s">
        <v>422</v>
      </c>
      <c r="N522" s="97" t="s">
        <v>197</v>
      </c>
      <c r="O522" s="144" t="s">
        <v>886</v>
      </c>
      <c r="P522" s="164" t="s">
        <v>348</v>
      </c>
      <c r="Q522" s="123" t="s">
        <v>726</v>
      </c>
      <c r="R522" s="171" t="s">
        <v>207</v>
      </c>
      <c r="S522" s="166" t="str">
        <f>MID(PAA[[#This Row],[Meta Proyecto de Inversión]],1,4)</f>
        <v>8126</v>
      </c>
      <c r="T522" s="166" t="str">
        <f>MID(PAA[[#This Row],[Meta Proyecto de Inversión]],6,2)</f>
        <v>8-</v>
      </c>
      <c r="U522" s="172" t="str">
        <f>IFERROR(VLOOKUP(N522,TD!$B$54:$F$58,2,0)," ")</f>
        <v>O230117</v>
      </c>
      <c r="V522" s="172" t="str">
        <f>IFERROR(VLOOKUP(N522,TD!$B$54:$F$58,3,0)," ")</f>
        <v>4599</v>
      </c>
      <c r="W522" s="172">
        <f>IFERROR(VLOOKUP(N522,TD!$B$54:$F$58,4,0)," ")</f>
        <v>20240207</v>
      </c>
      <c r="X522" s="171" t="s">
        <v>174</v>
      </c>
      <c r="Y522" s="172" t="str">
        <f>IFERROR(VLOOKUP(X522,TD!$J$55:$K$68,2,0)," ")</f>
        <v>Infraestructura física, mantenimiento y dotación (Sedes construidas, mantenidas reforzadas)</v>
      </c>
      <c r="Z522" s="168" t="str">
        <f>CONCATENATE(X522,"-",Y522)</f>
        <v>08-Infraestructura física, mantenimiento y dotación (Sedes construidas, mantenidas reforzadas)</v>
      </c>
      <c r="AA522" s="171" t="s">
        <v>227</v>
      </c>
      <c r="AB522" s="172" t="str">
        <f>IFERROR(VLOOKUP(AA522,TD!$N$55:$O$70,2,0)," ")</f>
        <v>Sedes mantenidas</v>
      </c>
      <c r="AC522" s="168" t="str">
        <f>CONCATENATE(AA522,"_",AB522)</f>
        <v>016_Sedes mantenidas</v>
      </c>
      <c r="AD522" s="168" t="str">
        <f>CONCATENATE(Z522," ",AC522)</f>
        <v>08-Infraestructura física, mantenimiento y dotación (Sedes construidas, mantenidas reforzadas) 016_Sedes mantenidas</v>
      </c>
      <c r="AE522" s="172" t="str">
        <f>CONCATENATE(U522,V522,W522,X522,AA522)</f>
        <v>O23011745992024020708016</v>
      </c>
      <c r="AF522" s="172" t="str">
        <f>IFERROR(VLOOKUP(AD522,TD!$J$70:$K$93,2,0)," ")</f>
        <v>PM/0131/0108/45990160207</v>
      </c>
      <c r="AG522" s="114" t="s">
        <v>134</v>
      </c>
      <c r="AH522" s="182" t="s">
        <v>193</v>
      </c>
      <c r="AI522" s="173" t="str">
        <f>CONCATENATE(PAA[[#This Row],[Id Interno]],"-",PAA[[#This Row],[tipo de Contrato (TH talento humano - B/S bienes y/o servicios)]],"-",S522,"-",T522,"-",PAA[[#This Row],[Objeto de la contratación]])</f>
        <v>20260495-BS-8126-8--Contratar la prestación del servicio de aseo y cafetería incluido insumos para la Unidad Administrativa Especial Cuerpo Oficial de Bomberos Bogotá -SGC</v>
      </c>
    </row>
    <row r="523" spans="2:35" ht="56" x14ac:dyDescent="0.35">
      <c r="B523" s="97">
        <v>20260496</v>
      </c>
      <c r="C523" s="97" t="s">
        <v>930</v>
      </c>
      <c r="D523" s="97" t="s">
        <v>92</v>
      </c>
      <c r="E523" s="97" t="s">
        <v>402</v>
      </c>
      <c r="F523" s="164" t="s">
        <v>111</v>
      </c>
      <c r="G523" s="164" t="s">
        <v>377</v>
      </c>
      <c r="H523" s="170">
        <v>8</v>
      </c>
      <c r="I523" s="170">
        <v>0</v>
      </c>
      <c r="J523" s="114">
        <v>12661688</v>
      </c>
      <c r="K523" s="121" t="s">
        <v>398</v>
      </c>
      <c r="L523" s="164" t="s">
        <v>155</v>
      </c>
      <c r="M523" s="171" t="s">
        <v>422</v>
      </c>
      <c r="N523" s="97" t="s">
        <v>197</v>
      </c>
      <c r="O523" s="144" t="s">
        <v>886</v>
      </c>
      <c r="P523" s="164" t="s">
        <v>348</v>
      </c>
      <c r="Q523" s="123" t="s">
        <v>727</v>
      </c>
      <c r="R523" s="171" t="s">
        <v>207</v>
      </c>
      <c r="S523" s="166" t="str">
        <f>MID(PAA[[#This Row],[Meta Proyecto de Inversión]],1,4)</f>
        <v>8126</v>
      </c>
      <c r="T523" s="166" t="str">
        <f>MID(PAA[[#This Row],[Meta Proyecto de Inversión]],6,2)</f>
        <v>8-</v>
      </c>
      <c r="U523" s="172" t="str">
        <f>IFERROR(VLOOKUP(N523,TD!$B$54:$F$58,2,0)," ")</f>
        <v>O230117</v>
      </c>
      <c r="V523" s="172" t="str">
        <f>IFERROR(VLOOKUP(N523,TD!$B$54:$F$58,3,0)," ")</f>
        <v>4599</v>
      </c>
      <c r="W523" s="172">
        <f>IFERROR(VLOOKUP(N523,TD!$B$54:$F$58,4,0)," ")</f>
        <v>20240207</v>
      </c>
      <c r="X523" s="171" t="s">
        <v>174</v>
      </c>
      <c r="Y523" s="172" t="str">
        <f>IFERROR(VLOOKUP(X523,TD!$J$55:$K$68,2,0)," ")</f>
        <v>Infraestructura física, mantenimiento y dotación (Sedes construidas, mantenidas reforzadas)</v>
      </c>
      <c r="Z523" s="168" t="str">
        <f>CONCATENATE(X523,"-",Y523)</f>
        <v>08-Infraestructura física, mantenimiento y dotación (Sedes construidas, mantenidas reforzadas)</v>
      </c>
      <c r="AA523" s="171" t="s">
        <v>227</v>
      </c>
      <c r="AB523" s="172" t="str">
        <f>IFERROR(VLOOKUP(AA523,TD!$N$55:$O$70,2,0)," ")</f>
        <v>Sedes mantenidas</v>
      </c>
      <c r="AC523" s="168" t="str">
        <f>CONCATENATE(AA523,"_",AB523)</f>
        <v>016_Sedes mantenidas</v>
      </c>
      <c r="AD523" s="168" t="str">
        <f>CONCATENATE(Z523," ",AC523)</f>
        <v>08-Infraestructura física, mantenimiento y dotación (Sedes construidas, mantenidas reforzadas) 016_Sedes mantenidas</v>
      </c>
      <c r="AE523" s="172" t="str">
        <f>CONCATENATE(U523,V523,W523,X523,AA523)</f>
        <v>O23011745992024020708016</v>
      </c>
      <c r="AF523" s="172" t="str">
        <f>IFERROR(VLOOKUP(AD523,TD!$J$70:$K$93,2,0)," ")</f>
        <v>PM/0131/0108/45990160207</v>
      </c>
      <c r="AG523" s="114" t="s">
        <v>868</v>
      </c>
      <c r="AH523" s="182" t="s">
        <v>193</v>
      </c>
      <c r="AI523" s="173" t="str">
        <f>CONCATENATE(PAA[[#This Row],[Id Interno]],"-",PAA[[#This Row],[tipo de Contrato (TH talento humano - B/S bienes y/o servicios)]],"-",S523,"-",T523,"-",PAA[[#This Row],[Objeto de la contratación]])</f>
        <v>20260496-BS-8126-8--Prestar el servicio y mantenimiento de equipos de higienización, desodorización y aromatización para la Unidad Administrativa Especial Cuerpo Oficial de Bomberos Bogotá-SGC</v>
      </c>
    </row>
    <row r="524" spans="2:35" ht="42" x14ac:dyDescent="0.35">
      <c r="B524" s="97">
        <v>20260497</v>
      </c>
      <c r="C524" s="97" t="s">
        <v>889</v>
      </c>
      <c r="D524" s="97" t="s">
        <v>92</v>
      </c>
      <c r="E524" s="97" t="s">
        <v>402</v>
      </c>
      <c r="F524" s="164" t="s">
        <v>136</v>
      </c>
      <c r="G524" s="164" t="s">
        <v>377</v>
      </c>
      <c r="H524" s="170">
        <v>8</v>
      </c>
      <c r="I524" s="170">
        <v>0</v>
      </c>
      <c r="J524" s="114">
        <v>48000000</v>
      </c>
      <c r="K524" s="121" t="s">
        <v>398</v>
      </c>
      <c r="L524" s="164" t="s">
        <v>155</v>
      </c>
      <c r="M524" s="171" t="s">
        <v>422</v>
      </c>
      <c r="N524" s="97" t="s">
        <v>197</v>
      </c>
      <c r="O524" s="144" t="s">
        <v>886</v>
      </c>
      <c r="P524" s="164" t="s">
        <v>348</v>
      </c>
      <c r="Q524" s="123" t="s">
        <v>974</v>
      </c>
      <c r="R524" s="171" t="s">
        <v>207</v>
      </c>
      <c r="S524" s="166" t="str">
        <f>MID(PAA[[#This Row],[Meta Proyecto de Inversión]],1,4)</f>
        <v>8126</v>
      </c>
      <c r="T524" s="166" t="str">
        <f>MID(PAA[[#This Row],[Meta Proyecto de Inversión]],6,2)</f>
        <v>8-</v>
      </c>
      <c r="U524" s="172" t="str">
        <f>IFERROR(VLOOKUP(N524,TD!$B$54:$F$58,2,0)," ")</f>
        <v>O230117</v>
      </c>
      <c r="V524" s="172" t="str">
        <f>IFERROR(VLOOKUP(N524,TD!$B$54:$F$58,3,0)," ")</f>
        <v>4599</v>
      </c>
      <c r="W524" s="172">
        <f>IFERROR(VLOOKUP(N524,TD!$B$54:$F$58,4,0)," ")</f>
        <v>20240207</v>
      </c>
      <c r="X524" s="171" t="s">
        <v>174</v>
      </c>
      <c r="Y524" s="172" t="str">
        <f>IFERROR(VLOOKUP(X524,TD!$J$55:$K$68,2,0)," ")</f>
        <v>Infraestructura física, mantenimiento y dotación (Sedes construidas, mantenidas reforzadas)</v>
      </c>
      <c r="Z524" s="168" t="str">
        <f>CONCATENATE(X524,"-",Y524)</f>
        <v>08-Infraestructura física, mantenimiento y dotación (Sedes construidas, mantenidas reforzadas)</v>
      </c>
      <c r="AA524" s="171" t="s">
        <v>227</v>
      </c>
      <c r="AB524" s="172" t="str">
        <f>IFERROR(VLOOKUP(AA524,TD!$N$55:$O$70,2,0)," ")</f>
        <v>Sedes mantenidas</v>
      </c>
      <c r="AC524" s="168" t="str">
        <f>CONCATENATE(AA524,"_",AB524)</f>
        <v>016_Sedes mantenidas</v>
      </c>
      <c r="AD524" s="168" t="str">
        <f>CONCATENATE(Z524," ",AC524)</f>
        <v>08-Infraestructura física, mantenimiento y dotación (Sedes construidas, mantenidas reforzadas) 016_Sedes mantenidas</v>
      </c>
      <c r="AE524" s="172" t="str">
        <f>CONCATENATE(U524,V524,W524,X524,AA524)</f>
        <v>O23011745992024020708016</v>
      </c>
      <c r="AF524" s="172" t="str">
        <f>IFERROR(VLOOKUP(AD524,TD!$J$70:$K$93,2,0)," ")</f>
        <v>PM/0131/0108/45990160207</v>
      </c>
      <c r="AG524" s="114" t="s">
        <v>80</v>
      </c>
      <c r="AH524" s="182" t="s">
        <v>193</v>
      </c>
      <c r="AI524" s="173" t="str">
        <f>CONCATENATE(PAA[[#This Row],[Id Interno]],"-",PAA[[#This Row],[tipo de Contrato (TH talento humano - B/S bienes y/o servicios)]],"-",S524,"-",T524,"-",PAA[[#This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525" spans="2:35" ht="70" x14ac:dyDescent="0.35">
      <c r="B525" s="97">
        <v>20260498</v>
      </c>
      <c r="C525" s="97" t="s">
        <v>890</v>
      </c>
      <c r="D525" s="97" t="s">
        <v>92</v>
      </c>
      <c r="E525" s="97" t="s">
        <v>402</v>
      </c>
      <c r="F525" s="164" t="s">
        <v>136</v>
      </c>
      <c r="G525" s="164" t="s">
        <v>377</v>
      </c>
      <c r="H525" s="170">
        <v>8</v>
      </c>
      <c r="I525" s="170">
        <v>0</v>
      </c>
      <c r="J525" s="114">
        <v>48000000</v>
      </c>
      <c r="K525" s="121" t="s">
        <v>398</v>
      </c>
      <c r="L525" s="164" t="s">
        <v>155</v>
      </c>
      <c r="M525" s="171" t="s">
        <v>422</v>
      </c>
      <c r="N525" s="97" t="s">
        <v>197</v>
      </c>
      <c r="O525" s="144" t="s">
        <v>886</v>
      </c>
      <c r="P525" s="164" t="s">
        <v>348</v>
      </c>
      <c r="Q525" s="123">
        <v>72151802</v>
      </c>
      <c r="R525" s="171" t="s">
        <v>207</v>
      </c>
      <c r="S525" s="166" t="str">
        <f>MID(PAA[[#This Row],[Meta Proyecto de Inversión]],1,4)</f>
        <v>8126</v>
      </c>
      <c r="T525" s="166" t="str">
        <f>MID(PAA[[#This Row],[Meta Proyecto de Inversión]],6,2)</f>
        <v>8-</v>
      </c>
      <c r="U525" s="172" t="str">
        <f>IFERROR(VLOOKUP(N525,TD!$B$54:$F$58,2,0)," ")</f>
        <v>O230117</v>
      </c>
      <c r="V525" s="172" t="str">
        <f>IFERROR(VLOOKUP(N525,TD!$B$54:$F$58,3,0)," ")</f>
        <v>4599</v>
      </c>
      <c r="W525" s="172">
        <f>IFERROR(VLOOKUP(N525,TD!$B$54:$F$58,4,0)," ")</f>
        <v>20240207</v>
      </c>
      <c r="X525" s="171" t="s">
        <v>174</v>
      </c>
      <c r="Y525" s="172" t="str">
        <f>IFERROR(VLOOKUP(X525,TD!$J$55:$K$68,2,0)," ")</f>
        <v>Infraestructura física, mantenimiento y dotación (Sedes construidas, mantenidas reforzadas)</v>
      </c>
      <c r="Z525" s="168" t="str">
        <f>CONCATENATE(X525,"-",Y525)</f>
        <v>08-Infraestructura física, mantenimiento y dotación (Sedes construidas, mantenidas reforzadas)</v>
      </c>
      <c r="AA525" s="171" t="s">
        <v>227</v>
      </c>
      <c r="AB525" s="172" t="str">
        <f>IFERROR(VLOOKUP(AA525,TD!$N$55:$O$70,2,0)," ")</f>
        <v>Sedes mantenidas</v>
      </c>
      <c r="AC525" s="168" t="str">
        <f>CONCATENATE(AA525,"_",AB525)</f>
        <v>016_Sedes mantenidas</v>
      </c>
      <c r="AD525" s="168" t="str">
        <f>CONCATENATE(Z525," ",AC525)</f>
        <v>08-Infraestructura física, mantenimiento y dotación (Sedes construidas, mantenidas reforzadas) 016_Sedes mantenidas</v>
      </c>
      <c r="AE525" s="172" t="str">
        <f>CONCATENATE(U525,V525,W525,X525,AA525)</f>
        <v>O23011745992024020708016</v>
      </c>
      <c r="AF525" s="172" t="str">
        <f>IFERROR(VLOOKUP(AD525,TD!$J$70:$K$93,2,0)," ")</f>
        <v>PM/0131/0108/45990160207</v>
      </c>
      <c r="AG525" s="114" t="s">
        <v>80</v>
      </c>
      <c r="AH525" s="182" t="s">
        <v>193</v>
      </c>
      <c r="AI525" s="173" t="str">
        <f>CONCATENATE(PAA[[#This Row],[Id Interno]],"-",PAA[[#This Row],[tipo de Contrato (TH talento humano - B/S bienes y/o servicios)]],"-",S525,"-",T525,"-",PAA[[#This Row],[Objeto de la contratación]])</f>
        <v>20260498-BS-8126-8--Mantenimiento preventivo y/o correctivo, y suministro de repuestos de los equipos de gimnasio de las diferentes instalaciones a cargo de la Unidad Administrativa Especial Cuerpo Oficial de Bomberos Bogotá -SGC</v>
      </c>
    </row>
    <row r="526" spans="2:35" ht="56" x14ac:dyDescent="0.35">
      <c r="B526" s="97">
        <v>20260499</v>
      </c>
      <c r="C526" s="97" t="s">
        <v>698</v>
      </c>
      <c r="D526" s="97" t="s">
        <v>88</v>
      </c>
      <c r="E526" s="97" t="s">
        <v>402</v>
      </c>
      <c r="F526" s="164" t="s">
        <v>141</v>
      </c>
      <c r="G526" s="164" t="s">
        <v>377</v>
      </c>
      <c r="H526" s="170">
        <v>4</v>
      </c>
      <c r="I526" s="170">
        <v>0</v>
      </c>
      <c r="J526" s="114">
        <v>340735168</v>
      </c>
      <c r="K526" s="121" t="s">
        <v>398</v>
      </c>
      <c r="L526" s="164" t="s">
        <v>155</v>
      </c>
      <c r="M526" s="171" t="s">
        <v>422</v>
      </c>
      <c r="N526" s="97" t="s">
        <v>198</v>
      </c>
      <c r="O526" s="144" t="s">
        <v>887</v>
      </c>
      <c r="P526" s="164" t="s">
        <v>348</v>
      </c>
      <c r="Q526" s="123" t="s">
        <v>728</v>
      </c>
      <c r="R526" s="171" t="s">
        <v>351</v>
      </c>
      <c r="S526" s="166" t="str">
        <f>MID(PAA[[#This Row],[Meta Proyecto de Inversión]],1,4)</f>
        <v>8173</v>
      </c>
      <c r="T526" s="166" t="str">
        <f>MID(PAA[[#This Row],[Meta Proyecto de Inversión]],6,2)</f>
        <v>11</v>
      </c>
      <c r="U526" s="172" t="str">
        <f>IFERROR(VLOOKUP(N526,TD!$B$54:$F$58,2,0)," ")</f>
        <v>O230117</v>
      </c>
      <c r="V526" s="172" t="str">
        <f>IFERROR(VLOOKUP(N526,TD!$B$54:$F$58,3,0)," ")</f>
        <v>4503</v>
      </c>
      <c r="W526" s="172">
        <f>IFERROR(VLOOKUP(N526,TD!$B$54:$F$58,4,0)," ")</f>
        <v>20240255</v>
      </c>
      <c r="X526" s="171">
        <v>14</v>
      </c>
      <c r="Y526" s="172" t="str">
        <f>IFERROR(VLOOKUP(X526,TD!$J$55:$K$68,2,0)," ")</f>
        <v xml:space="preserve">Infraestructura física misional construida mantenida y dotada </v>
      </c>
      <c r="Z526" s="168" t="str">
        <f>CONCATENATE(X526,"-",Y526)</f>
        <v xml:space="preserve">14-Infraestructura física misional construida mantenida y dotada </v>
      </c>
      <c r="AA526" s="171" t="s">
        <v>225</v>
      </c>
      <c r="AB526" s="172" t="str">
        <f>IFERROR(VLOOKUP(AA526,TD!$N$55:$O$70,2,0)," ")</f>
        <v>Estaciones de bomberos adecuadas</v>
      </c>
      <c r="AC526" s="168" t="str">
        <f>CONCATENATE(AA526,"_",AB526)</f>
        <v>014_Estaciones de bomberos adecuadas</v>
      </c>
      <c r="AD526" s="168" t="str">
        <f>CONCATENATE(Z526," ",AC526)</f>
        <v>14-Infraestructura física misional construida mantenida y dotada  014_Estaciones de bomberos adecuadas</v>
      </c>
      <c r="AE526" s="172" t="str">
        <f>CONCATENATE(U526,V526,W526,X526,AA526)</f>
        <v>O23011745032024025514014</v>
      </c>
      <c r="AF526" s="172" t="str">
        <f>IFERROR(VLOOKUP(AD526,TD!$J$70:$K$93,2,0)," ")</f>
        <v>PM/0131/0114/45030140255</v>
      </c>
      <c r="AG526" s="114" t="s">
        <v>355</v>
      </c>
      <c r="AH526" s="182" t="s">
        <v>193</v>
      </c>
      <c r="AI526" s="173" t="str">
        <f>CONCATENATE(PAA[[#This Row],[Id Interno]],"-",PAA[[#This Row],[tipo de Contrato (TH talento humano - B/S bienes y/o servicios)]],"-",S526,"-",T526,"-",PAA[[#This Row],[Objeto de la contratación]])</f>
        <v>20260499-BS-8173-11-Suministro  de muebles, enseres y demàs elementos requeridos para la Unidad Administrativa Especial Cuerpo Oficial de Bomberos Bogotá -SGC</v>
      </c>
    </row>
    <row r="527" spans="2:35" ht="112" x14ac:dyDescent="0.35">
      <c r="B527" s="23">
        <v>20260500</v>
      </c>
      <c r="C527" s="97" t="s">
        <v>699</v>
      </c>
      <c r="D527" s="23" t="s">
        <v>92</v>
      </c>
      <c r="E527" s="23" t="s">
        <v>402</v>
      </c>
      <c r="F527" s="163" t="s">
        <v>136</v>
      </c>
      <c r="G527" s="164" t="s">
        <v>377</v>
      </c>
      <c r="H527" s="165">
        <v>11</v>
      </c>
      <c r="I527" s="165">
        <v>0</v>
      </c>
      <c r="J527" s="122">
        <v>20000000</v>
      </c>
      <c r="K527" s="88" t="s">
        <v>398</v>
      </c>
      <c r="L527" s="163" t="s">
        <v>155</v>
      </c>
      <c r="M527" s="166" t="s">
        <v>422</v>
      </c>
      <c r="N527" s="23" t="s">
        <v>197</v>
      </c>
      <c r="O527" s="144" t="s">
        <v>886</v>
      </c>
      <c r="P527" s="163" t="s">
        <v>348</v>
      </c>
      <c r="Q527" s="53" t="s">
        <v>729</v>
      </c>
      <c r="R527" s="166" t="s">
        <v>207</v>
      </c>
      <c r="S527" s="166" t="str">
        <f>MID(PAA[[#This Row],[Meta Proyecto de Inversión]],1,4)</f>
        <v>8126</v>
      </c>
      <c r="T527" s="166" t="str">
        <f>MID(PAA[[#This Row],[Meta Proyecto de Inversión]],6,2)</f>
        <v>8-</v>
      </c>
      <c r="U527" s="167" t="str">
        <f>IFERROR(VLOOKUP(N527,TD!$B$54:$F$58,2,0)," ")</f>
        <v>O230117</v>
      </c>
      <c r="V527" s="167" t="str">
        <f>IFERROR(VLOOKUP(N527,TD!$B$54:$F$58,3,0)," ")</f>
        <v>4599</v>
      </c>
      <c r="W527" s="167">
        <f>IFERROR(VLOOKUP(N527,TD!$B$54:$F$58,4,0)," ")</f>
        <v>20240207</v>
      </c>
      <c r="X527" s="166" t="s">
        <v>174</v>
      </c>
      <c r="Y527" s="167" t="str">
        <f>IFERROR(VLOOKUP(X527,TD!$J$55:$K$68,2,0)," ")</f>
        <v>Infraestructura física, mantenimiento y dotación (Sedes construidas, mantenidas reforzadas)</v>
      </c>
      <c r="Z527" s="168" t="str">
        <f>CONCATENATE(X527,"-",Y527)</f>
        <v>08-Infraestructura física, mantenimiento y dotación (Sedes construidas, mantenidas reforzadas)</v>
      </c>
      <c r="AA527" s="166" t="s">
        <v>227</v>
      </c>
      <c r="AB527" s="167" t="str">
        <f>IFERROR(VLOOKUP(AA527,TD!$N$55:$O$70,2,0)," ")</f>
        <v>Sedes mantenidas</v>
      </c>
      <c r="AC527" s="168" t="str">
        <f>CONCATENATE(AA527,"_",AB527)</f>
        <v>016_Sedes mantenidas</v>
      </c>
      <c r="AD527" s="168" t="str">
        <f>CONCATENATE(Z527," ",AC527)</f>
        <v>08-Infraestructura física, mantenimiento y dotación (Sedes construidas, mantenidas reforzadas) 016_Sedes mantenidas</v>
      </c>
      <c r="AE527" s="167" t="str">
        <f>CONCATENATE(U527,V527,W527,X527,AA527)</f>
        <v>O23011745992024020708016</v>
      </c>
      <c r="AF527" s="167" t="str">
        <f>IFERROR(VLOOKUP(AD527,TD!$J$70:$K$93,2,0)," ")</f>
        <v>PM/0131/0108/45990160207</v>
      </c>
      <c r="AG527" s="114" t="s">
        <v>868</v>
      </c>
      <c r="AH527" s="175" t="s">
        <v>193</v>
      </c>
      <c r="AI527" s="169" t="str">
        <f>CONCATENATE(PAA[[#This Row],[Id Interno]],"-",PAA[[#This Row],[tipo de Contrato (TH talento humano - B/S bienes y/o servicios)]],"-",S527,"-",T527,"-",PAA[[#This Row],[Objeto de la contratación]])</f>
        <v>20260500-BS-8126-8--Mantenimiento preventivo y/o correctivo, suministros y repuestos de los electrodomésticos de las instalaciones a cargo de la UAE Cuerpo Oficial de Bomberos Bogotá-SGC</v>
      </c>
    </row>
    <row r="528" spans="2:35" ht="42" x14ac:dyDescent="0.35">
      <c r="B528" s="23">
        <v>20260501</v>
      </c>
      <c r="C528" s="97" t="s">
        <v>700</v>
      </c>
      <c r="D528" s="23" t="s">
        <v>83</v>
      </c>
      <c r="E528" s="23" t="s">
        <v>402</v>
      </c>
      <c r="F528" s="163" t="s">
        <v>136</v>
      </c>
      <c r="G528" s="164" t="s">
        <v>375</v>
      </c>
      <c r="H528" s="165">
        <v>11</v>
      </c>
      <c r="I528" s="165">
        <v>0</v>
      </c>
      <c r="J528" s="122">
        <v>120000000</v>
      </c>
      <c r="K528" s="88" t="s">
        <v>398</v>
      </c>
      <c r="L528" s="163" t="s">
        <v>155</v>
      </c>
      <c r="M528" s="166" t="s">
        <v>422</v>
      </c>
      <c r="N528" s="23" t="s">
        <v>197</v>
      </c>
      <c r="O528" s="144" t="s">
        <v>886</v>
      </c>
      <c r="P528" s="163" t="s">
        <v>348</v>
      </c>
      <c r="Q528" s="53" t="s">
        <v>730</v>
      </c>
      <c r="R528" s="166" t="s">
        <v>207</v>
      </c>
      <c r="S528" s="166" t="str">
        <f>MID(PAA[[#This Row],[Meta Proyecto de Inversión]],1,4)</f>
        <v>8126</v>
      </c>
      <c r="T528" s="166" t="str">
        <f>MID(PAA[[#This Row],[Meta Proyecto de Inversión]],6,2)</f>
        <v>8-</v>
      </c>
      <c r="U528" s="167" t="str">
        <f>IFERROR(VLOOKUP(N528,TD!$B$54:$F$58,2,0)," ")</f>
        <v>O230117</v>
      </c>
      <c r="V528" s="167" t="str">
        <f>IFERROR(VLOOKUP(N528,TD!$B$54:$F$58,3,0)," ")</f>
        <v>4599</v>
      </c>
      <c r="W528" s="167">
        <f>IFERROR(VLOOKUP(N528,TD!$B$54:$F$58,4,0)," ")</f>
        <v>20240207</v>
      </c>
      <c r="X528" s="166" t="s">
        <v>174</v>
      </c>
      <c r="Y528" s="167" t="str">
        <f>IFERROR(VLOOKUP(X528,TD!$J$55:$K$68,2,0)," ")</f>
        <v>Infraestructura física, mantenimiento y dotación (Sedes construidas, mantenidas reforzadas)</v>
      </c>
      <c r="Z528" s="168" t="str">
        <f>CONCATENATE(X528,"-",Y528)</f>
        <v>08-Infraestructura física, mantenimiento y dotación (Sedes construidas, mantenidas reforzadas)</v>
      </c>
      <c r="AA528" s="166" t="s">
        <v>227</v>
      </c>
      <c r="AB528" s="167" t="str">
        <f>IFERROR(VLOOKUP(AA528,TD!$N$55:$O$70,2,0)," ")</f>
        <v>Sedes mantenidas</v>
      </c>
      <c r="AC528" s="168" t="str">
        <f>CONCATENATE(AA528,"_",AB528)</f>
        <v>016_Sedes mantenidas</v>
      </c>
      <c r="AD528" s="168" t="str">
        <f>CONCATENATE(Z528," ",AC528)</f>
        <v>08-Infraestructura física, mantenimiento y dotación (Sedes construidas, mantenidas reforzadas) 016_Sedes mantenidas</v>
      </c>
      <c r="AE528" s="167" t="str">
        <f>CONCATENATE(U528,V528,W528,X528,AA528)</f>
        <v>O23011745992024020708016</v>
      </c>
      <c r="AF528" s="167" t="str">
        <f>IFERROR(VLOOKUP(AD528,TD!$J$70:$K$93,2,0)," ")</f>
        <v>PM/0131/0108/45990160207</v>
      </c>
      <c r="AG528" s="114" t="s">
        <v>870</v>
      </c>
      <c r="AH528" s="175" t="s">
        <v>193</v>
      </c>
      <c r="AI528" s="169" t="str">
        <f>CONCATENATE(PAA[[#This Row],[Id Interno]],"-",PAA[[#This Row],[tipo de Contrato (TH talento humano - B/S bienes y/o servicios)]],"-",S528,"-",T528,"-",PAA[[#This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529" spans="2:35" ht="56" x14ac:dyDescent="0.35">
      <c r="B529" s="23">
        <v>20260502</v>
      </c>
      <c r="C529" s="97" t="s">
        <v>701</v>
      </c>
      <c r="D529" s="23" t="s">
        <v>83</v>
      </c>
      <c r="E529" s="23" t="s">
        <v>402</v>
      </c>
      <c r="F529" s="163" t="s">
        <v>136</v>
      </c>
      <c r="G529" s="164" t="s">
        <v>376</v>
      </c>
      <c r="H529" s="165">
        <v>10</v>
      </c>
      <c r="I529" s="165">
        <v>0</v>
      </c>
      <c r="J529" s="122">
        <v>180000000</v>
      </c>
      <c r="K529" s="88" t="s">
        <v>398</v>
      </c>
      <c r="L529" s="163" t="s">
        <v>155</v>
      </c>
      <c r="M529" s="166" t="s">
        <v>422</v>
      </c>
      <c r="N529" s="23" t="s">
        <v>197</v>
      </c>
      <c r="O529" s="144" t="s">
        <v>886</v>
      </c>
      <c r="P529" s="163" t="s">
        <v>348</v>
      </c>
      <c r="Q529" s="53" t="s">
        <v>731</v>
      </c>
      <c r="R529" s="166" t="s">
        <v>207</v>
      </c>
      <c r="S529" s="166" t="str">
        <f>MID(PAA[[#This Row],[Meta Proyecto de Inversión]],1,4)</f>
        <v>8126</v>
      </c>
      <c r="T529" s="166" t="str">
        <f>MID(PAA[[#This Row],[Meta Proyecto de Inversión]],6,2)</f>
        <v>8-</v>
      </c>
      <c r="U529" s="167" t="str">
        <f>IFERROR(VLOOKUP(N529,TD!$B$54:$F$58,2,0)," ")</f>
        <v>O230117</v>
      </c>
      <c r="V529" s="167" t="str">
        <f>IFERROR(VLOOKUP(N529,TD!$B$54:$F$58,3,0)," ")</f>
        <v>4599</v>
      </c>
      <c r="W529" s="167">
        <f>IFERROR(VLOOKUP(N529,TD!$B$54:$F$58,4,0)," ")</f>
        <v>20240207</v>
      </c>
      <c r="X529" s="166" t="s">
        <v>174</v>
      </c>
      <c r="Y529" s="167" t="str">
        <f>IFERROR(VLOOKUP(X529,TD!$J$55:$K$68,2,0)," ")</f>
        <v>Infraestructura física, mantenimiento y dotación (Sedes construidas, mantenidas reforzadas)</v>
      </c>
      <c r="Z529" s="168" t="str">
        <f>CONCATENATE(X529,"-",Y529)</f>
        <v>08-Infraestructura física, mantenimiento y dotación (Sedes construidas, mantenidas reforzadas)</v>
      </c>
      <c r="AA529" s="166" t="s">
        <v>227</v>
      </c>
      <c r="AB529" s="167" t="str">
        <f>IFERROR(VLOOKUP(AA529,TD!$N$55:$O$70,2,0)," ")</f>
        <v>Sedes mantenidas</v>
      </c>
      <c r="AC529" s="168" t="str">
        <f>CONCATENATE(AA529,"_",AB529)</f>
        <v>016_Sedes mantenidas</v>
      </c>
      <c r="AD529" s="168" t="str">
        <f>CONCATENATE(Z529," ",AC529)</f>
        <v>08-Infraestructura física, mantenimiento y dotación (Sedes construidas, mantenidas reforzadas) 016_Sedes mantenidas</v>
      </c>
      <c r="AE529" s="167" t="str">
        <f>CONCATENATE(U529,V529,W529,X529,AA529)</f>
        <v>O23011745992024020708016</v>
      </c>
      <c r="AF529" s="167" t="str">
        <f>IFERROR(VLOOKUP(AD529,TD!$J$70:$K$93,2,0)," ")</f>
        <v>PM/0131/0108/45990160207</v>
      </c>
      <c r="AG529" s="114" t="s">
        <v>548</v>
      </c>
      <c r="AH529" s="175" t="s">
        <v>193</v>
      </c>
      <c r="AI529" s="169" t="str">
        <f>CONCATENATE(PAA[[#This Row],[Id Interno]],"-",PAA[[#This Row],[tipo de Contrato (TH talento humano - B/S bienes y/o servicios)]],"-",S529,"-",T529,"-",PAA[[#This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530" spans="2:35" ht="84" x14ac:dyDescent="0.35">
      <c r="B530" s="146">
        <v>20260503</v>
      </c>
      <c r="C530" s="117" t="s">
        <v>975</v>
      </c>
      <c r="D530" s="117" t="s">
        <v>83</v>
      </c>
      <c r="E530" s="117" t="s">
        <v>402</v>
      </c>
      <c r="F530" s="177" t="s">
        <v>136</v>
      </c>
      <c r="G530" s="177" t="s">
        <v>375</v>
      </c>
      <c r="H530" s="190">
        <v>10</v>
      </c>
      <c r="I530" s="190">
        <v>0</v>
      </c>
      <c r="J530" s="130">
        <v>180000000</v>
      </c>
      <c r="K530" s="148" t="s">
        <v>398</v>
      </c>
      <c r="L530" s="177" t="s">
        <v>155</v>
      </c>
      <c r="M530" s="186" t="s">
        <v>422</v>
      </c>
      <c r="N530" s="117" t="s">
        <v>197</v>
      </c>
      <c r="O530" s="144" t="s">
        <v>886</v>
      </c>
      <c r="P530" s="177" t="s">
        <v>348</v>
      </c>
      <c r="Q530" s="149" t="s">
        <v>732</v>
      </c>
      <c r="R530" s="186" t="s">
        <v>207</v>
      </c>
      <c r="S530" s="174" t="str">
        <f>MID(PAA[[#This Row],[Meta Proyecto de Inversión]],1,4)</f>
        <v>8126</v>
      </c>
      <c r="T530" s="174" t="str">
        <f>MID(PAA[[#This Row],[Meta Proyecto de Inversión]],6,2)</f>
        <v>8-</v>
      </c>
      <c r="U530" s="187" t="str">
        <f>IFERROR(VLOOKUP(N530,TD!$B$54:$F$58,2,0)," ")</f>
        <v>O230117</v>
      </c>
      <c r="V530" s="187" t="str">
        <f>IFERROR(VLOOKUP(N530,TD!$B$54:$F$58,3,0)," ")</f>
        <v>4599</v>
      </c>
      <c r="W530" s="187">
        <f>IFERROR(VLOOKUP(N530,TD!$B$54:$F$58,4,0)," ")</f>
        <v>20240207</v>
      </c>
      <c r="X530" s="186" t="s">
        <v>174</v>
      </c>
      <c r="Y530" s="172" t="str">
        <f>IFERROR(VLOOKUP(X530,TD!$J$55:$K$68,2,0)," ")</f>
        <v>Infraestructura física, mantenimiento y dotación (Sedes construidas, mantenidas reforzadas)</v>
      </c>
      <c r="Z530" s="180" t="str">
        <f>CONCATENATE(X530,"-",Y530)</f>
        <v>08-Infraestructura física, mantenimiento y dotación (Sedes construidas, mantenidas reforzadas)</v>
      </c>
      <c r="AA530" s="171" t="s">
        <v>227</v>
      </c>
      <c r="AB530" s="172" t="str">
        <f>IFERROR(VLOOKUP(AA530,TD!$N$55:$O$70,2,0)," ")</f>
        <v>Sedes mantenidas</v>
      </c>
      <c r="AC530" s="180" t="str">
        <f>CONCATENATE(AA530,"_",AB530)</f>
        <v>016_Sedes mantenidas</v>
      </c>
      <c r="AD530" s="180" t="str">
        <f>CONCATENATE(Z530," ",AC530)</f>
        <v>08-Infraestructura física, mantenimiento y dotación (Sedes construidas, mantenidas reforzadas) 016_Sedes mantenidas</v>
      </c>
      <c r="AE530" s="187" t="str">
        <f>CONCATENATE(U530,V530,W530,X530,AA530)</f>
        <v>O23011745992024020708016</v>
      </c>
      <c r="AF530" s="172" t="str">
        <f>IFERROR(VLOOKUP(AD530,TD!$J$70:$K$93,2,0)," ")</f>
        <v>PM/0131/0108/45990160207</v>
      </c>
      <c r="AG530" s="114" t="s">
        <v>869</v>
      </c>
      <c r="AH530" s="182" t="s">
        <v>193</v>
      </c>
      <c r="AI530" s="173" t="str">
        <f>CONCATENATE(PAA[[#This Row],[Id Interno]],"-",PAA[[#This Row],[tipo de Contrato (TH talento humano - B/S bienes y/o servicios)]],"-",S530,"-",T530,"-",PAA[[#This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531" spans="2:35" ht="56" x14ac:dyDescent="0.35">
      <c r="B531" s="146">
        <v>20260505</v>
      </c>
      <c r="C531" s="117" t="s">
        <v>703</v>
      </c>
      <c r="D531" s="117" t="s">
        <v>78</v>
      </c>
      <c r="E531" s="117" t="s">
        <v>402</v>
      </c>
      <c r="F531" s="177" t="s">
        <v>97</v>
      </c>
      <c r="G531" s="177" t="s">
        <v>377</v>
      </c>
      <c r="H531" s="190">
        <v>10</v>
      </c>
      <c r="I531" s="190">
        <v>0</v>
      </c>
      <c r="J531" s="130">
        <f>800000000-70000000</f>
        <v>730000000</v>
      </c>
      <c r="K531" s="148" t="s">
        <v>398</v>
      </c>
      <c r="L531" s="177" t="s">
        <v>155</v>
      </c>
      <c r="M531" s="186" t="s">
        <v>422</v>
      </c>
      <c r="N531" s="117" t="s">
        <v>197</v>
      </c>
      <c r="O531" s="144" t="s">
        <v>886</v>
      </c>
      <c r="P531" s="177" t="s">
        <v>348</v>
      </c>
      <c r="Q531" s="149" t="s">
        <v>733</v>
      </c>
      <c r="R531" s="186" t="s">
        <v>207</v>
      </c>
      <c r="S531" s="174" t="str">
        <f>MID(PAA[[#This Row],[Meta Proyecto de Inversión]],1,4)</f>
        <v>8126</v>
      </c>
      <c r="T531" s="174" t="str">
        <f>MID(PAA[[#This Row],[Meta Proyecto de Inversión]],6,2)</f>
        <v>8-</v>
      </c>
      <c r="U531" s="187" t="str">
        <f>IFERROR(VLOOKUP(N531,TD!$B$54:$F$58,2,0)," ")</f>
        <v>O230117</v>
      </c>
      <c r="V531" s="187" t="str">
        <f>IFERROR(VLOOKUP(N531,TD!$B$54:$F$58,3,0)," ")</f>
        <v>4599</v>
      </c>
      <c r="W531" s="187">
        <f>IFERROR(VLOOKUP(N531,TD!$B$54:$F$58,4,0)," ")</f>
        <v>20240207</v>
      </c>
      <c r="X531" s="186" t="s">
        <v>174</v>
      </c>
      <c r="Y531" s="172" t="str">
        <f>IFERROR(VLOOKUP(X531,TD!$J$55:$K$68,2,0)," ")</f>
        <v>Infraestructura física, mantenimiento y dotación (Sedes construidas, mantenidas reforzadas)</v>
      </c>
      <c r="Z531" s="180" t="str">
        <f>CONCATENATE(X531,"-",Y531)</f>
        <v>08-Infraestructura física, mantenimiento y dotación (Sedes construidas, mantenidas reforzadas)</v>
      </c>
      <c r="AA531" s="171" t="s">
        <v>227</v>
      </c>
      <c r="AB531" s="172" t="str">
        <f>IFERROR(VLOOKUP(AA531,TD!$N$55:$O$70,2,0)," ")</f>
        <v>Sedes mantenidas</v>
      </c>
      <c r="AC531" s="180" t="str">
        <f>CONCATENATE(AA531,"_",AB531)</f>
        <v>016_Sedes mantenidas</v>
      </c>
      <c r="AD531" s="180" t="str">
        <f>CONCATENATE(Z531," ",AC531)</f>
        <v>08-Infraestructura física, mantenimiento y dotación (Sedes construidas, mantenidas reforzadas) 016_Sedes mantenidas</v>
      </c>
      <c r="AE531" s="187" t="str">
        <f>CONCATENATE(U531,V531,W531,X531,AA531)</f>
        <v>O23011745992024020708016</v>
      </c>
      <c r="AF531" s="172" t="str">
        <f>IFERROR(VLOOKUP(AD531,TD!$J$70:$K$93,2,0)," ")</f>
        <v>PM/0131/0108/45990160207</v>
      </c>
      <c r="AG531" s="114" t="s">
        <v>94</v>
      </c>
      <c r="AH531" s="182" t="s">
        <v>193</v>
      </c>
      <c r="AI531" s="173" t="str">
        <f>CONCATENATE(PAA[[#This Row],[Id Interno]],"-",PAA[[#This Row],[tipo de Contrato (TH talento humano - B/S bienes y/o servicios)]],"-",S531,"-",T531,"-",PAA[[#This Row],[Objeto de la contratación]])</f>
        <v>20260505-BS-8126-8--Realizar el mantenimiento predictivo, preventivo, correctivo y mejoras a las instalaciones de las dependencias de la Unidad Administrativa Especial Cuerpo Oficial de Bomberos Bogotá -SGC</v>
      </c>
    </row>
    <row r="532" spans="2:35" ht="56" x14ac:dyDescent="0.35">
      <c r="B532" s="137">
        <v>20260506</v>
      </c>
      <c r="C532" s="117" t="s">
        <v>880</v>
      </c>
      <c r="D532" s="125" t="s">
        <v>100</v>
      </c>
      <c r="E532" s="125" t="s">
        <v>402</v>
      </c>
      <c r="F532" s="125" t="s">
        <v>131</v>
      </c>
      <c r="G532" s="126" t="s">
        <v>377</v>
      </c>
      <c r="H532" s="132">
        <v>10</v>
      </c>
      <c r="I532" s="178">
        <v>0</v>
      </c>
      <c r="J532" s="127">
        <v>200000000</v>
      </c>
      <c r="K532" s="128" t="s">
        <v>398</v>
      </c>
      <c r="L532" s="176" t="s">
        <v>155</v>
      </c>
      <c r="M532" s="174" t="s">
        <v>422</v>
      </c>
      <c r="N532" s="125" t="s">
        <v>197</v>
      </c>
      <c r="O532" s="144" t="s">
        <v>886</v>
      </c>
      <c r="P532" s="174" t="s">
        <v>348</v>
      </c>
      <c r="Q532" s="129" t="s">
        <v>734</v>
      </c>
      <c r="R532" s="174" t="s">
        <v>207</v>
      </c>
      <c r="S532" s="174" t="str">
        <f>MID(PAA[[#This Row],[Meta Proyecto de Inversión]],1,4)</f>
        <v>8126</v>
      </c>
      <c r="T532" s="174" t="str">
        <f>MID(PAA[[#This Row],[Meta Proyecto de Inversión]],6,2)</f>
        <v>8-</v>
      </c>
      <c r="U532" s="179" t="str">
        <f>IFERROR(VLOOKUP(N532,TD!$B$54:$F$58,2,0)," ")</f>
        <v>O230117</v>
      </c>
      <c r="V532" s="179" t="str">
        <f>IFERROR(VLOOKUP(N532,TD!$B$54:$F$58,3,0)," ")</f>
        <v>4599</v>
      </c>
      <c r="W532" s="179">
        <f>IFERROR(VLOOKUP(N532,TD!$B$54:$F$58,4,0)," ")</f>
        <v>20240207</v>
      </c>
      <c r="X532" s="174" t="s">
        <v>174</v>
      </c>
      <c r="Y532" s="167" t="str">
        <f>IFERROR(VLOOKUP(X532,TD!$J$55:$K$68,2,0)," ")</f>
        <v>Infraestructura física, mantenimiento y dotación (Sedes construidas, mantenidas reforzadas)</v>
      </c>
      <c r="Z532" s="180" t="str">
        <f>CONCATENATE(X532,"-",Y532)</f>
        <v>08-Infraestructura física, mantenimiento y dotación (Sedes construidas, mantenidas reforzadas)</v>
      </c>
      <c r="AA532" s="166" t="s">
        <v>227</v>
      </c>
      <c r="AB532" s="167" t="str">
        <f>IFERROR(VLOOKUP(AA532,TD!$N$55:$O$70,2,0)," ")</f>
        <v>Sedes mantenidas</v>
      </c>
      <c r="AC532" s="180" t="str">
        <f>CONCATENATE(AA532,"_",AB532)</f>
        <v>016_Sedes mantenidas</v>
      </c>
      <c r="AD532" s="180" t="str">
        <f>CONCATENATE(Z532," ",AC532)</f>
        <v>08-Infraestructura física, mantenimiento y dotación (Sedes construidas, mantenidas reforzadas) 016_Sedes mantenidas</v>
      </c>
      <c r="AE532" s="179" t="str">
        <f>CONCATENATE(U532,V532,W532,X532,AA532)</f>
        <v>O23011745992024020708016</v>
      </c>
      <c r="AF532" s="167" t="str">
        <f>IFERROR(VLOOKUP(AD532,TD!$J$70:$K$93,2,0)," ")</f>
        <v>PM/0131/0108/45990160207</v>
      </c>
      <c r="AG532" s="114" t="s">
        <v>94</v>
      </c>
      <c r="AH532" s="175" t="s">
        <v>193</v>
      </c>
      <c r="AI532" s="183" t="str">
        <f>CONCATENATE(PAA[[#This Row],[Id Interno]],"-",PAA[[#This Row],[tipo de Contrato (TH talento humano - B/S bienes y/o servicios)]],"-",S532,"-",T532,"-",PAA[[#This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533" spans="2:35" ht="70" x14ac:dyDescent="0.35">
      <c r="B533" s="137">
        <v>20260508</v>
      </c>
      <c r="C533" s="125" t="s">
        <v>704</v>
      </c>
      <c r="D533" s="125" t="s">
        <v>83</v>
      </c>
      <c r="E533" s="125" t="s">
        <v>402</v>
      </c>
      <c r="F533" s="125" t="s">
        <v>136</v>
      </c>
      <c r="G533" s="160" t="s">
        <v>377</v>
      </c>
      <c r="H533" s="132">
        <v>10</v>
      </c>
      <c r="I533" s="178">
        <v>0</v>
      </c>
      <c r="J533" s="127">
        <v>127000000</v>
      </c>
      <c r="K533" s="128" t="s">
        <v>398</v>
      </c>
      <c r="L533" s="176" t="s">
        <v>155</v>
      </c>
      <c r="M533" s="174" t="s">
        <v>422</v>
      </c>
      <c r="N533" s="125" t="s">
        <v>197</v>
      </c>
      <c r="O533" s="145" t="s">
        <v>886</v>
      </c>
      <c r="P533" s="174" t="s">
        <v>348</v>
      </c>
      <c r="Q533" s="129" t="s">
        <v>735</v>
      </c>
      <c r="R533" s="174" t="s">
        <v>207</v>
      </c>
      <c r="S533" s="174" t="str">
        <f>MID(PAA[[#This Row],[Meta Proyecto de Inversión]],1,4)</f>
        <v>8126</v>
      </c>
      <c r="T533" s="174" t="str">
        <f>MID(PAA[[#This Row],[Meta Proyecto de Inversión]],6,2)</f>
        <v>8-</v>
      </c>
      <c r="U533" s="179" t="str">
        <f>IFERROR(VLOOKUP(N533,TD!$B$54:$F$58,2,0)," ")</f>
        <v>O230117</v>
      </c>
      <c r="V533" s="179" t="str">
        <f>IFERROR(VLOOKUP(N533,TD!$B$54:$F$58,3,0)," ")</f>
        <v>4599</v>
      </c>
      <c r="W533" s="179">
        <f>IFERROR(VLOOKUP(N533,TD!$B$54:$F$58,4,0)," ")</f>
        <v>20240207</v>
      </c>
      <c r="X533" s="174" t="s">
        <v>174</v>
      </c>
      <c r="Y533" s="167" t="str">
        <f>IFERROR(VLOOKUP(X533,TD!$J$55:$K$68,2,0)," ")</f>
        <v>Infraestructura física, mantenimiento y dotación (Sedes construidas, mantenidas reforzadas)</v>
      </c>
      <c r="Z533" s="180" t="str">
        <f>CONCATENATE(X533,"-",Y533)</f>
        <v>08-Infraestructura física, mantenimiento y dotación (Sedes construidas, mantenidas reforzadas)</v>
      </c>
      <c r="AA533" s="166" t="s">
        <v>227</v>
      </c>
      <c r="AB533" s="167" t="str">
        <f>IFERROR(VLOOKUP(AA533,TD!$N$55:$O$70,2,0)," ")</f>
        <v>Sedes mantenidas</v>
      </c>
      <c r="AC533" s="180" t="str">
        <f>CONCATENATE(AA533,"_",AB533)</f>
        <v>016_Sedes mantenidas</v>
      </c>
      <c r="AD533" s="180" t="str">
        <f>CONCATENATE(Z533," ",AC533)</f>
        <v>08-Infraestructura física, mantenimiento y dotación (Sedes construidas, mantenidas reforzadas) 016_Sedes mantenidas</v>
      </c>
      <c r="AE533" s="179" t="str">
        <f>CONCATENATE(U533,V533,W533,X533,AA533)</f>
        <v>O23011745992024020708016</v>
      </c>
      <c r="AF533" s="167" t="str">
        <f>IFERROR(VLOOKUP(AD533,TD!$J$70:$K$93,2,0)," ")</f>
        <v>PM/0131/0108/45990160207</v>
      </c>
      <c r="AG533" s="122" t="s">
        <v>868</v>
      </c>
      <c r="AH533" s="175" t="s">
        <v>193</v>
      </c>
      <c r="AI533" s="183" t="str">
        <f>CONCATENATE(PAA[[#This Row],[Id Interno]],"-",PAA[[#This Row],[tipo de Contrato (TH talento humano - B/S bienes y/o servicios)]],"-",S533,"-",T533,"-",PAA[[#This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534" spans="2:35" ht="56" x14ac:dyDescent="0.35">
      <c r="B534" s="137">
        <v>20260510</v>
      </c>
      <c r="C534" s="117" t="s">
        <v>705</v>
      </c>
      <c r="D534" s="125" t="s">
        <v>83</v>
      </c>
      <c r="E534" s="125" t="s">
        <v>402</v>
      </c>
      <c r="F534" s="125" t="s">
        <v>136</v>
      </c>
      <c r="G534" s="126" t="s">
        <v>378</v>
      </c>
      <c r="H534" s="132">
        <v>9</v>
      </c>
      <c r="I534" s="178">
        <v>0</v>
      </c>
      <c r="J534" s="127">
        <v>200000000</v>
      </c>
      <c r="K534" s="128" t="s">
        <v>398</v>
      </c>
      <c r="L534" s="176" t="s">
        <v>155</v>
      </c>
      <c r="M534" s="174" t="s">
        <v>422</v>
      </c>
      <c r="N534" s="125" t="s">
        <v>197</v>
      </c>
      <c r="O534" s="144" t="s">
        <v>886</v>
      </c>
      <c r="P534" s="174" t="s">
        <v>348</v>
      </c>
      <c r="Q534" s="129" t="s">
        <v>736</v>
      </c>
      <c r="R534" s="174" t="s">
        <v>207</v>
      </c>
      <c r="S534" s="174" t="str">
        <f>MID(PAA[[#This Row],[Meta Proyecto de Inversión]],1,4)</f>
        <v>8126</v>
      </c>
      <c r="T534" s="166" t="str">
        <f>MID(PAA[[#This Row],[Meta Proyecto de Inversión]],6,2)</f>
        <v>8-</v>
      </c>
      <c r="U534" s="179" t="str">
        <f>IFERROR(VLOOKUP(N534,TD!$B$54:$F$58,2,0)," ")</f>
        <v>O230117</v>
      </c>
      <c r="V534" s="179" t="str">
        <f>IFERROR(VLOOKUP(N534,TD!$B$54:$F$58,3,0)," ")</f>
        <v>4599</v>
      </c>
      <c r="W534" s="179">
        <f>IFERROR(VLOOKUP(N534,TD!$B$54:$F$58,4,0)," ")</f>
        <v>20240207</v>
      </c>
      <c r="X534" s="174" t="s">
        <v>174</v>
      </c>
      <c r="Y534" s="167" t="str">
        <f>IFERROR(VLOOKUP(X534,TD!$J$55:$K$68,2,0)," ")</f>
        <v>Infraestructura física, mantenimiento y dotación (Sedes construidas, mantenidas reforzadas)</v>
      </c>
      <c r="Z534" s="180" t="str">
        <f>CONCATENATE(X534,"-",Y534)</f>
        <v>08-Infraestructura física, mantenimiento y dotación (Sedes construidas, mantenidas reforzadas)</v>
      </c>
      <c r="AA534" s="166" t="s">
        <v>227</v>
      </c>
      <c r="AB534" s="167" t="str">
        <f>IFERROR(VLOOKUP(AA534,TD!$N$55:$O$70,2,0)," ")</f>
        <v>Sedes mantenidas</v>
      </c>
      <c r="AC534" s="180" t="str">
        <f>CONCATENATE(AA534,"_",AB534)</f>
        <v>016_Sedes mantenidas</v>
      </c>
      <c r="AD534" s="180" t="str">
        <f>CONCATENATE(Z534," ",AC534)</f>
        <v>08-Infraestructura física, mantenimiento y dotación (Sedes construidas, mantenidas reforzadas) 016_Sedes mantenidas</v>
      </c>
      <c r="AE534" s="179" t="str">
        <f>CONCATENATE(U534,V534,W534,X534,AA534)</f>
        <v>O23011745992024020708016</v>
      </c>
      <c r="AF534" s="167" t="str">
        <f>IFERROR(VLOOKUP(AD534,TD!$J$70:$K$93,2,0)," ")</f>
        <v>PM/0131/0108/45990160207</v>
      </c>
      <c r="AG534" s="114" t="s">
        <v>80</v>
      </c>
      <c r="AH534" s="175" t="s">
        <v>193</v>
      </c>
      <c r="AI534" s="183" t="str">
        <f>CONCATENATE(PAA[[#This Row],[Id Interno]],"-",PAA[[#This Row],[tipo de Contrato (TH talento humano - B/S bienes y/o servicios)]],"-",S534,"-",T534,"-",PAA[[#This Row],[Objeto de la contratación]])</f>
        <v>20260510-BS-8126-8--Realizar el mantenimiento preventivo, correctivo de puertas automatizadas para las salas de máquinas de las estaciones de la UAE Cuerpo Oficial de Bomberos-SGC</v>
      </c>
    </row>
    <row r="535" spans="2:35" ht="56" x14ac:dyDescent="0.35">
      <c r="B535" s="137">
        <v>20260518</v>
      </c>
      <c r="C535" s="117" t="s">
        <v>707</v>
      </c>
      <c r="D535" s="125" t="s">
        <v>83</v>
      </c>
      <c r="E535" s="125" t="s">
        <v>402</v>
      </c>
      <c r="F535" s="125" t="s">
        <v>89</v>
      </c>
      <c r="G535" s="126" t="s">
        <v>376</v>
      </c>
      <c r="H535" s="132">
        <v>11</v>
      </c>
      <c r="I535" s="178">
        <v>0</v>
      </c>
      <c r="J535" s="127">
        <v>250000000</v>
      </c>
      <c r="K535" s="128" t="s">
        <v>398</v>
      </c>
      <c r="L535" s="176" t="s">
        <v>155</v>
      </c>
      <c r="M535" s="174" t="s">
        <v>422</v>
      </c>
      <c r="N535" s="125" t="s">
        <v>330</v>
      </c>
      <c r="O535" s="144" t="s">
        <v>886</v>
      </c>
      <c r="P535" s="174" t="s">
        <v>161</v>
      </c>
      <c r="Q535" s="129" t="s">
        <v>1092</v>
      </c>
      <c r="R535" s="174" t="s">
        <v>331</v>
      </c>
      <c r="S535" s="174" t="str">
        <f>MID(PAA[[#This Row],[Meta Proyecto de Inversión]],1,4)</f>
        <v>No a</v>
      </c>
      <c r="T535" s="174" t="str">
        <f>MID(PAA[[#This Row],[Meta Proyecto de Inversión]],6,2)</f>
        <v>li</v>
      </c>
      <c r="U535" s="179" t="str">
        <f>IFERROR(VLOOKUP(N535,TD!$B$54:$F$58,2,0)," ")</f>
        <v>NA</v>
      </c>
      <c r="V535" s="179" t="str">
        <f>IFERROR(VLOOKUP(N535,TD!$B$54:$F$58,3,0)," ")</f>
        <v>NA</v>
      </c>
      <c r="W535" s="179" t="str">
        <f>IFERROR(VLOOKUP(N535,TD!$B$54:$F$58,4,0)," ")</f>
        <v>NA</v>
      </c>
      <c r="X535" s="174" t="s">
        <v>335</v>
      </c>
      <c r="Y535" s="167" t="str">
        <f>IFERROR(VLOOKUP(X535,TD!$J$55:$K$68,2,0)," ")</f>
        <v>N/A</v>
      </c>
      <c r="Z535" s="180" t="str">
        <f>CONCATENATE(X535,"-",Y535)</f>
        <v>N/A-N/A</v>
      </c>
      <c r="AA535" s="174" t="s">
        <v>335</v>
      </c>
      <c r="AB535" s="167" t="str">
        <f>IFERROR(VLOOKUP(AA535,TD!$N$55:$O$70,2,0)," ")</f>
        <v>N/A</v>
      </c>
      <c r="AC535" s="180" t="str">
        <f>CONCATENATE(AA535,"_",AB535)</f>
        <v>N/A_N/A</v>
      </c>
      <c r="AD535" s="180" t="str">
        <f>CONCATENATE(Z535," ",AC535)</f>
        <v>N/A-N/A N/A_N/A</v>
      </c>
      <c r="AE535" s="179" t="str">
        <f>CONCATENATE(U535,V535,W535,X535,AA535)</f>
        <v>NANANAN/AN/A</v>
      </c>
      <c r="AF535" s="167" t="str">
        <f>IFERROR(VLOOKUP(AD535,TD!$J$70:$K$93,2,0)," ")</f>
        <v>N/A</v>
      </c>
      <c r="AG535" s="130" t="s">
        <v>332</v>
      </c>
      <c r="AH535" s="175" t="s">
        <v>193</v>
      </c>
      <c r="AI535" s="183" t="str">
        <f>CONCATENATE(PAA[[#This Row],[Id Interno]],"-",PAA[[#This Row],[tipo de Contrato (TH talento humano - B/S bienes y/o servicios)]],"-",S535,"-",T535,"-",PAA[[#This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36" spans="2:35" ht="112" x14ac:dyDescent="0.35">
      <c r="B536" s="137">
        <v>20260519</v>
      </c>
      <c r="C536" s="117" t="s">
        <v>708</v>
      </c>
      <c r="D536" s="125" t="s">
        <v>92</v>
      </c>
      <c r="E536" s="125" t="s">
        <v>402</v>
      </c>
      <c r="F536" s="125" t="s">
        <v>89</v>
      </c>
      <c r="G536" s="126" t="s">
        <v>377</v>
      </c>
      <c r="H536" s="132">
        <v>8</v>
      </c>
      <c r="I536" s="178">
        <v>0</v>
      </c>
      <c r="J536" s="127">
        <v>30000000</v>
      </c>
      <c r="K536" s="128" t="s">
        <v>398</v>
      </c>
      <c r="L536" s="176" t="s">
        <v>155</v>
      </c>
      <c r="M536" s="174" t="s">
        <v>422</v>
      </c>
      <c r="N536" s="125" t="s">
        <v>330</v>
      </c>
      <c r="O536" s="144" t="s">
        <v>886</v>
      </c>
      <c r="P536" s="174" t="s">
        <v>161</v>
      </c>
      <c r="Q536" s="129" t="s">
        <v>737</v>
      </c>
      <c r="R536" s="174" t="s">
        <v>331</v>
      </c>
      <c r="S536" s="174" t="str">
        <f>MID(PAA[[#This Row],[Meta Proyecto de Inversión]],1,4)</f>
        <v>No a</v>
      </c>
      <c r="T536" s="174" t="str">
        <f>MID(PAA[[#This Row],[Meta Proyecto de Inversión]],6,2)</f>
        <v>li</v>
      </c>
      <c r="U536" s="179" t="str">
        <f>IFERROR(VLOOKUP(N536,TD!$B$54:$F$58,2,0)," ")</f>
        <v>NA</v>
      </c>
      <c r="V536" s="179" t="str">
        <f>IFERROR(VLOOKUP(N536,TD!$B$54:$F$58,3,0)," ")</f>
        <v>NA</v>
      </c>
      <c r="W536" s="179" t="str">
        <f>IFERROR(VLOOKUP(N536,TD!$B$54:$F$58,4,0)," ")</f>
        <v>NA</v>
      </c>
      <c r="X536" s="174" t="s">
        <v>335</v>
      </c>
      <c r="Y536" s="167" t="str">
        <f>IFERROR(VLOOKUP(X536,TD!$J$55:$K$68,2,0)," ")</f>
        <v>N/A</v>
      </c>
      <c r="Z536" s="180" t="str">
        <f>CONCATENATE(X536,"-",Y536)</f>
        <v>N/A-N/A</v>
      </c>
      <c r="AA536" s="174" t="s">
        <v>335</v>
      </c>
      <c r="AB536" s="167" t="str">
        <f>IFERROR(VLOOKUP(AA536,TD!$N$55:$O$70,2,0)," ")</f>
        <v>N/A</v>
      </c>
      <c r="AC536" s="180" t="str">
        <f>CONCATENATE(AA536,"_",AB536)</f>
        <v>N/A_N/A</v>
      </c>
      <c r="AD536" s="180" t="str">
        <f>CONCATENATE(Z536," ",AC536)</f>
        <v>N/A-N/A N/A_N/A</v>
      </c>
      <c r="AE536" s="179" t="str">
        <f>CONCATENATE(U536,V536,W536,X536,AA536)</f>
        <v>NANANAN/AN/A</v>
      </c>
      <c r="AF536" s="167" t="str">
        <f>IFERROR(VLOOKUP(AD536,TD!$J$70:$K$93,2,0)," ")</f>
        <v>N/A</v>
      </c>
      <c r="AG536" s="130" t="s">
        <v>332</v>
      </c>
      <c r="AH536" s="175" t="s">
        <v>193</v>
      </c>
      <c r="AI536" s="183" t="str">
        <f>CONCATENATE(PAA[[#This Row],[Id Interno]],"-",PAA[[#This Row],[tipo de Contrato (TH talento humano - B/S bienes y/o servicios)]],"-",S536,"-",T536,"-",PAA[[#This Row],[Objeto de la contratación]])</f>
        <v>20260519-BS-No a-li-Prestar el servicio de recolección y disposición final de los residuos sanitarios y aguas no tratadas de las instalaciones de la Unidad Administrativa Especial Cuerpo Oficial de Bomberos de Bogotá – SGC</v>
      </c>
    </row>
    <row r="537" spans="2:35" ht="56" x14ac:dyDescent="0.35">
      <c r="B537" s="137">
        <v>20260520</v>
      </c>
      <c r="C537" s="117" t="s">
        <v>709</v>
      </c>
      <c r="D537" s="125" t="s">
        <v>92</v>
      </c>
      <c r="E537" s="125" t="s">
        <v>402</v>
      </c>
      <c r="F537" s="125" t="s">
        <v>146</v>
      </c>
      <c r="G537" s="126" t="s">
        <v>376</v>
      </c>
      <c r="H537" s="132">
        <v>10</v>
      </c>
      <c r="I537" s="178">
        <v>0</v>
      </c>
      <c r="J537" s="127">
        <v>24000000</v>
      </c>
      <c r="K537" s="128" t="s">
        <v>398</v>
      </c>
      <c r="L537" s="176" t="s">
        <v>155</v>
      </c>
      <c r="M537" s="174" t="s">
        <v>422</v>
      </c>
      <c r="N537" s="125" t="s">
        <v>330</v>
      </c>
      <c r="O537" s="144" t="s">
        <v>886</v>
      </c>
      <c r="P537" s="174" t="s">
        <v>161</v>
      </c>
      <c r="Q537" s="129" t="s">
        <v>738</v>
      </c>
      <c r="R537" s="174" t="s">
        <v>331</v>
      </c>
      <c r="S537" s="174" t="str">
        <f>MID(PAA[[#This Row],[Meta Proyecto de Inversión]],1,4)</f>
        <v>No a</v>
      </c>
      <c r="T537" s="174" t="str">
        <f>MID(PAA[[#This Row],[Meta Proyecto de Inversión]],6,2)</f>
        <v>li</v>
      </c>
      <c r="U537" s="179" t="str">
        <f>IFERROR(VLOOKUP(N537,TD!$B$54:$F$58,2,0)," ")</f>
        <v>NA</v>
      </c>
      <c r="V537" s="179" t="str">
        <f>IFERROR(VLOOKUP(N537,TD!$B$54:$F$58,3,0)," ")</f>
        <v>NA</v>
      </c>
      <c r="W537" s="179" t="str">
        <f>IFERROR(VLOOKUP(N537,TD!$B$54:$F$58,4,0)," ")</f>
        <v>NA</v>
      </c>
      <c r="X537" s="174" t="s">
        <v>335</v>
      </c>
      <c r="Y537" s="167" t="str">
        <f>IFERROR(VLOOKUP(X537,TD!$J$55:$K$68,2,0)," ")</f>
        <v>N/A</v>
      </c>
      <c r="Z537" s="180" t="str">
        <f>CONCATENATE(X537,"-",Y537)</f>
        <v>N/A-N/A</v>
      </c>
      <c r="AA537" s="174" t="s">
        <v>335</v>
      </c>
      <c r="AB537" s="167" t="str">
        <f>IFERROR(VLOOKUP(AA537,TD!$N$55:$O$70,2,0)," ")</f>
        <v>N/A</v>
      </c>
      <c r="AC537" s="180" t="str">
        <f>CONCATENATE(AA537,"_",AB537)</f>
        <v>N/A_N/A</v>
      </c>
      <c r="AD537" s="180" t="str">
        <f>CONCATENATE(Z537," ",AC537)</f>
        <v>N/A-N/A N/A_N/A</v>
      </c>
      <c r="AE537" s="179" t="str">
        <f>CONCATENATE(U537,V537,W537,X537,AA537)</f>
        <v>NANANAN/AN/A</v>
      </c>
      <c r="AF537" s="167" t="str">
        <f>IFERROR(VLOOKUP(AD537,TD!$J$70:$K$93,2,0)," ")</f>
        <v>N/A</v>
      </c>
      <c r="AG537" s="130" t="s">
        <v>332</v>
      </c>
      <c r="AH537" s="175" t="s">
        <v>193</v>
      </c>
      <c r="AI537" s="183" t="str">
        <f>CONCATENATE(PAA[[#This Row],[Id Interno]],"-",PAA[[#This Row],[tipo de Contrato (TH talento humano - B/S bienes y/o servicios)]],"-",S537,"-",T537,"-",PAA[[#This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38" spans="2:35" ht="98" x14ac:dyDescent="0.35">
      <c r="B538" s="137">
        <v>20260521</v>
      </c>
      <c r="C538" s="117" t="s">
        <v>710</v>
      </c>
      <c r="D538" s="125" t="s">
        <v>114</v>
      </c>
      <c r="E538" s="125" t="s">
        <v>402</v>
      </c>
      <c r="F538" s="125" t="s">
        <v>89</v>
      </c>
      <c r="G538" s="126" t="s">
        <v>373</v>
      </c>
      <c r="H538" s="132">
        <v>1</v>
      </c>
      <c r="I538" s="178">
        <v>0</v>
      </c>
      <c r="J538" s="127">
        <v>17698013</v>
      </c>
      <c r="K538" s="128" t="s">
        <v>398</v>
      </c>
      <c r="L538" s="176" t="s">
        <v>155</v>
      </c>
      <c r="M538" s="174" t="s">
        <v>422</v>
      </c>
      <c r="N538" s="125" t="s">
        <v>330</v>
      </c>
      <c r="O538" s="144" t="s">
        <v>886</v>
      </c>
      <c r="P538" s="174" t="s">
        <v>161</v>
      </c>
      <c r="Q538" s="129" t="s">
        <v>739</v>
      </c>
      <c r="R538" s="174" t="s">
        <v>331</v>
      </c>
      <c r="S538" s="174" t="str">
        <f>MID(PAA[[#This Row],[Meta Proyecto de Inversión]],1,4)</f>
        <v>No a</v>
      </c>
      <c r="T538" s="174" t="str">
        <f>MID(PAA[[#This Row],[Meta Proyecto de Inversión]],6,2)</f>
        <v>li</v>
      </c>
      <c r="U538" s="179" t="str">
        <f>IFERROR(VLOOKUP(N538,TD!$B$54:$F$58,2,0)," ")</f>
        <v>NA</v>
      </c>
      <c r="V538" s="179" t="str">
        <f>IFERROR(VLOOKUP(N538,TD!$B$54:$F$58,3,0)," ")</f>
        <v>NA</v>
      </c>
      <c r="W538" s="179" t="str">
        <f>IFERROR(VLOOKUP(N538,TD!$B$54:$F$58,4,0)," ")</f>
        <v>NA</v>
      </c>
      <c r="X538" s="174" t="s">
        <v>335</v>
      </c>
      <c r="Y538" s="167" t="str">
        <f>IFERROR(VLOOKUP(X538,TD!$J$55:$K$68,2,0)," ")</f>
        <v>N/A</v>
      </c>
      <c r="Z538" s="180" t="str">
        <f>CONCATENATE(X538,"-",Y538)</f>
        <v>N/A-N/A</v>
      </c>
      <c r="AA538" s="174" t="s">
        <v>335</v>
      </c>
      <c r="AB538" s="167" t="str">
        <f>IFERROR(VLOOKUP(AA538,TD!$N$55:$O$70,2,0)," ")</f>
        <v>N/A</v>
      </c>
      <c r="AC538" s="180" t="str">
        <f>CONCATENATE(AA538,"_",AB538)</f>
        <v>N/A_N/A</v>
      </c>
      <c r="AD538" s="180" t="str">
        <f>CONCATENATE(Z538," ",AC538)</f>
        <v>N/A-N/A N/A_N/A</v>
      </c>
      <c r="AE538" s="179" t="str">
        <f>CONCATENATE(U538,V538,W538,X538,AA538)</f>
        <v>NANANAN/AN/A</v>
      </c>
      <c r="AF538" s="167" t="str">
        <f>IFERROR(VLOOKUP(AD538,TD!$J$70:$K$93,2,0)," ")</f>
        <v>N/A</v>
      </c>
      <c r="AG538" s="130" t="s">
        <v>332</v>
      </c>
      <c r="AH538" s="175" t="s">
        <v>194</v>
      </c>
      <c r="AI538" s="183" t="str">
        <f>CONCATENATE(PAA[[#This Row],[Id Interno]],"-",PAA[[#This Row],[tipo de Contrato (TH talento humano - B/S bienes y/o servicios)]],"-",S538,"-",T538,"-",PAA[[#This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39" spans="2:35" ht="126" x14ac:dyDescent="0.35">
      <c r="B539" s="137">
        <v>20260522</v>
      </c>
      <c r="C539" s="117" t="s">
        <v>711</v>
      </c>
      <c r="D539" s="125" t="s">
        <v>114</v>
      </c>
      <c r="E539" s="125" t="s">
        <v>402</v>
      </c>
      <c r="F539" s="125" t="s">
        <v>89</v>
      </c>
      <c r="G539" s="126" t="s">
        <v>375</v>
      </c>
      <c r="H539" s="132">
        <v>8</v>
      </c>
      <c r="I539" s="178">
        <v>0</v>
      </c>
      <c r="J539" s="127">
        <v>88070951</v>
      </c>
      <c r="K539" s="128" t="s">
        <v>398</v>
      </c>
      <c r="L539" s="176" t="s">
        <v>155</v>
      </c>
      <c r="M539" s="174" t="s">
        <v>422</v>
      </c>
      <c r="N539" s="125" t="s">
        <v>330</v>
      </c>
      <c r="O539" s="144" t="s">
        <v>886</v>
      </c>
      <c r="P539" s="174" t="s">
        <v>161</v>
      </c>
      <c r="Q539" s="129" t="s">
        <v>739</v>
      </c>
      <c r="R539" s="174" t="s">
        <v>331</v>
      </c>
      <c r="S539" s="174" t="str">
        <f>MID(PAA[[#This Row],[Meta Proyecto de Inversión]],1,4)</f>
        <v>No a</v>
      </c>
      <c r="T539" s="174" t="str">
        <f>MID(PAA[[#This Row],[Meta Proyecto de Inversión]],6,2)</f>
        <v>li</v>
      </c>
      <c r="U539" s="179" t="str">
        <f>IFERROR(VLOOKUP(N539,TD!$B$54:$F$58,2,0)," ")</f>
        <v>NA</v>
      </c>
      <c r="V539" s="179" t="str">
        <f>IFERROR(VLOOKUP(N539,TD!$B$54:$F$58,3,0)," ")</f>
        <v>NA</v>
      </c>
      <c r="W539" s="179" t="str">
        <f>IFERROR(VLOOKUP(N539,TD!$B$54:$F$58,4,0)," ")</f>
        <v>NA</v>
      </c>
      <c r="X539" s="174" t="s">
        <v>335</v>
      </c>
      <c r="Y539" s="167" t="str">
        <f>IFERROR(VLOOKUP(X539,TD!$J$55:$K$68,2,0)," ")</f>
        <v>N/A</v>
      </c>
      <c r="Z539" s="180" t="str">
        <f>CONCATENATE(X539,"-",Y539)</f>
        <v>N/A-N/A</v>
      </c>
      <c r="AA539" s="174" t="s">
        <v>335</v>
      </c>
      <c r="AB539" s="167" t="str">
        <f>IFERROR(VLOOKUP(AA539,TD!$N$55:$O$70,2,0)," ")</f>
        <v>N/A</v>
      </c>
      <c r="AC539" s="180" t="str">
        <f>CONCATENATE(AA539,"_",AB539)</f>
        <v>N/A_N/A</v>
      </c>
      <c r="AD539" s="180" t="str">
        <f>CONCATENATE(Z539," ",AC539)</f>
        <v>N/A-N/A N/A_N/A</v>
      </c>
      <c r="AE539" s="179" t="str">
        <f>CONCATENATE(U539,V539,W539,X539,AA539)</f>
        <v>NANANAN/AN/A</v>
      </c>
      <c r="AF539" s="167" t="str">
        <f>IFERROR(VLOOKUP(AD539,TD!$J$70:$K$93,2,0)," ")</f>
        <v>N/A</v>
      </c>
      <c r="AG539" s="130" t="s">
        <v>332</v>
      </c>
      <c r="AH539" s="175" t="s">
        <v>193</v>
      </c>
      <c r="AI539" s="183" t="str">
        <f>CONCATENATE(PAA[[#This Row],[Id Interno]],"-",PAA[[#This Row],[tipo de Contrato (TH talento humano - B/S bienes y/o servicios)]],"-",S539,"-",T539,"-",PAA[[#This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40" spans="2:35" ht="126" x14ac:dyDescent="0.35">
      <c r="B540" s="137">
        <v>20260523</v>
      </c>
      <c r="C540" s="117" t="s">
        <v>697</v>
      </c>
      <c r="D540" s="125" t="s">
        <v>114</v>
      </c>
      <c r="E540" s="125" t="s">
        <v>402</v>
      </c>
      <c r="F540" s="125" t="s">
        <v>89</v>
      </c>
      <c r="G540" s="126" t="s">
        <v>374</v>
      </c>
      <c r="H540" s="132">
        <v>10</v>
      </c>
      <c r="I540" s="178">
        <v>0</v>
      </c>
      <c r="J540" s="127">
        <v>755000000</v>
      </c>
      <c r="K540" s="128" t="s">
        <v>398</v>
      </c>
      <c r="L540" s="176" t="s">
        <v>155</v>
      </c>
      <c r="M540" s="174" t="s">
        <v>422</v>
      </c>
      <c r="N540" s="125" t="s">
        <v>330</v>
      </c>
      <c r="O540" s="144" t="s">
        <v>886</v>
      </c>
      <c r="P540" s="174" t="s">
        <v>161</v>
      </c>
      <c r="Q540" s="129" t="s">
        <v>726</v>
      </c>
      <c r="R540" s="174" t="s">
        <v>331</v>
      </c>
      <c r="S540" s="174" t="str">
        <f>MID(PAA[[#This Row],[Meta Proyecto de Inversión]],1,4)</f>
        <v>No a</v>
      </c>
      <c r="T540" s="174" t="str">
        <f>MID(PAA[[#This Row],[Meta Proyecto de Inversión]],6,2)</f>
        <v>li</v>
      </c>
      <c r="U540" s="179" t="str">
        <f>IFERROR(VLOOKUP(N540,TD!$B$54:$F$58,2,0)," ")</f>
        <v>NA</v>
      </c>
      <c r="V540" s="179" t="str">
        <f>IFERROR(VLOOKUP(N540,TD!$B$54:$F$58,3,0)," ")</f>
        <v>NA</v>
      </c>
      <c r="W540" s="179" t="str">
        <f>IFERROR(VLOOKUP(N540,TD!$B$54:$F$58,4,0)," ")</f>
        <v>NA</v>
      </c>
      <c r="X540" s="174" t="s">
        <v>335</v>
      </c>
      <c r="Y540" s="167" t="str">
        <f>IFERROR(VLOOKUP(X540,TD!$J$55:$K$68,2,0)," ")</f>
        <v>N/A</v>
      </c>
      <c r="Z540" s="180" t="str">
        <f>CONCATENATE(X540,"-",Y540)</f>
        <v>N/A-N/A</v>
      </c>
      <c r="AA540" s="174" t="s">
        <v>335</v>
      </c>
      <c r="AB540" s="167" t="str">
        <f>IFERROR(VLOOKUP(AA540,TD!$N$55:$O$70,2,0)," ")</f>
        <v>N/A</v>
      </c>
      <c r="AC540" s="180" t="str">
        <f>CONCATENATE(AA540,"_",AB540)</f>
        <v>N/A_N/A</v>
      </c>
      <c r="AD540" s="180" t="str">
        <f>CONCATENATE(Z540," ",AC540)</f>
        <v>N/A-N/A N/A_N/A</v>
      </c>
      <c r="AE540" s="179" t="str">
        <f>CONCATENATE(U540,V540,W540,X540,AA540)</f>
        <v>NANANAN/AN/A</v>
      </c>
      <c r="AF540" s="167" t="str">
        <f>IFERROR(VLOOKUP(AD540,TD!$J$70:$K$93,2,0)," ")</f>
        <v>N/A</v>
      </c>
      <c r="AG540" s="130" t="s">
        <v>332</v>
      </c>
      <c r="AH540" s="175" t="s">
        <v>193</v>
      </c>
      <c r="AI540" s="183" t="str">
        <f>CONCATENATE(PAA[[#This Row],[Id Interno]],"-",PAA[[#This Row],[tipo de Contrato (TH talento humano - B/S bienes y/o servicios)]],"-",S540,"-",T540,"-",PAA[[#This Row],[Objeto de la contratación]])</f>
        <v>20260523-BS-No a-li-Contratar la prestación del servicio de aseo y cafetería incluido insumos para la Unidad Administrativa Especial Cuerpo Oficial de Bomberos Bogotá -SGC</v>
      </c>
    </row>
    <row r="541" spans="2:35" ht="56" x14ac:dyDescent="0.35">
      <c r="B541" s="146">
        <v>20260524</v>
      </c>
      <c r="C541" s="117" t="s">
        <v>697</v>
      </c>
      <c r="D541" s="125" t="s">
        <v>114</v>
      </c>
      <c r="E541" s="125" t="s">
        <v>402</v>
      </c>
      <c r="F541" s="125" t="s">
        <v>89</v>
      </c>
      <c r="G541" s="126" t="s">
        <v>374</v>
      </c>
      <c r="H541" s="132">
        <v>10</v>
      </c>
      <c r="I541" s="178">
        <v>0</v>
      </c>
      <c r="J541" s="127">
        <v>355266492</v>
      </c>
      <c r="K541" s="128" t="s">
        <v>398</v>
      </c>
      <c r="L541" s="176" t="s">
        <v>155</v>
      </c>
      <c r="M541" s="174" t="s">
        <v>422</v>
      </c>
      <c r="N541" s="125" t="s">
        <v>330</v>
      </c>
      <c r="O541" s="144" t="s">
        <v>886</v>
      </c>
      <c r="P541" s="174" t="s">
        <v>161</v>
      </c>
      <c r="Q541" s="129" t="s">
        <v>726</v>
      </c>
      <c r="R541" s="174" t="s">
        <v>331</v>
      </c>
      <c r="S541" s="174" t="str">
        <f>MID(PAA[[#This Row],[Meta Proyecto de Inversión]],1,4)</f>
        <v>No a</v>
      </c>
      <c r="T541" s="174" t="str">
        <f>MID(PAA[[#This Row],[Meta Proyecto de Inversión]],6,2)</f>
        <v>li</v>
      </c>
      <c r="U541" s="179" t="str">
        <f>IFERROR(VLOOKUP(N541,TD!$B$54:$F$58,2,0)," ")</f>
        <v>NA</v>
      </c>
      <c r="V541" s="179" t="str">
        <f>IFERROR(VLOOKUP(N541,TD!$B$54:$F$58,3,0)," ")</f>
        <v>NA</v>
      </c>
      <c r="W541" s="179" t="str">
        <f>IFERROR(VLOOKUP(N541,TD!$B$54:$F$58,4,0)," ")</f>
        <v>NA</v>
      </c>
      <c r="X541" s="174" t="s">
        <v>335</v>
      </c>
      <c r="Y541" s="167" t="str">
        <f>IFERROR(VLOOKUP(X541,TD!$J$55:$K$68,2,0)," ")</f>
        <v>N/A</v>
      </c>
      <c r="Z541" s="180" t="str">
        <f>CONCATENATE(X541,"-",Y541)</f>
        <v>N/A-N/A</v>
      </c>
      <c r="AA541" s="174" t="s">
        <v>335</v>
      </c>
      <c r="AB541" s="167" t="str">
        <f>IFERROR(VLOOKUP(AA541,TD!$N$55:$O$70,2,0)," ")</f>
        <v>N/A</v>
      </c>
      <c r="AC541" s="180" t="str">
        <f>CONCATENATE(AA541,"_",AB541)</f>
        <v>N/A_N/A</v>
      </c>
      <c r="AD541" s="180" t="str">
        <f>CONCATENATE(Z541," ",AC541)</f>
        <v>N/A-N/A N/A_N/A</v>
      </c>
      <c r="AE541" s="179" t="str">
        <f>CONCATENATE(U541,V541,W541,X541,AA541)</f>
        <v>NANANAN/AN/A</v>
      </c>
      <c r="AF541" s="167" t="str">
        <f>IFERROR(VLOOKUP(AD541,TD!$J$70:$K$93,2,0)," ")</f>
        <v>N/A</v>
      </c>
      <c r="AG541" s="130" t="s">
        <v>332</v>
      </c>
      <c r="AH541" s="175" t="s">
        <v>193</v>
      </c>
      <c r="AI541" s="183" t="str">
        <f>CONCATENATE(PAA[[#This Row],[Id Interno]],"-",PAA[[#This Row],[tipo de Contrato (TH talento humano - B/S bienes y/o servicios)]],"-",S541,"-",T541,"-",PAA[[#This Row],[Objeto de la contratación]])</f>
        <v>20260524-BS-No a-li-Contratar la prestación del servicio de aseo y cafetería incluido insumos para la Unidad Administrativa Especial Cuerpo Oficial de Bomberos Bogotá -SGC</v>
      </c>
    </row>
    <row r="542" spans="2:35" ht="56" x14ac:dyDescent="0.35">
      <c r="B542" s="137">
        <v>20260525</v>
      </c>
      <c r="C542" s="117" t="s">
        <v>712</v>
      </c>
      <c r="D542" s="125" t="s">
        <v>88</v>
      </c>
      <c r="E542" s="125" t="s">
        <v>402</v>
      </c>
      <c r="F542" s="125" t="s">
        <v>111</v>
      </c>
      <c r="G542" s="126" t="s">
        <v>376</v>
      </c>
      <c r="H542" s="132">
        <v>8</v>
      </c>
      <c r="I542" s="178">
        <v>0</v>
      </c>
      <c r="J542" s="127">
        <v>85000000</v>
      </c>
      <c r="K542" s="128" t="s">
        <v>398</v>
      </c>
      <c r="L542" s="176" t="s">
        <v>155</v>
      </c>
      <c r="M542" s="174" t="s">
        <v>422</v>
      </c>
      <c r="N542" s="125" t="s">
        <v>330</v>
      </c>
      <c r="O542" s="144" t="s">
        <v>886</v>
      </c>
      <c r="P542" s="174" t="s">
        <v>161</v>
      </c>
      <c r="Q542" s="129" t="s">
        <v>740</v>
      </c>
      <c r="R542" s="174" t="s">
        <v>331</v>
      </c>
      <c r="S542" s="174" t="str">
        <f>MID(PAA[[#This Row],[Meta Proyecto de Inversión]],1,4)</f>
        <v>No a</v>
      </c>
      <c r="T542" s="174" t="str">
        <f>MID(PAA[[#This Row],[Meta Proyecto de Inversión]],6,2)</f>
        <v>li</v>
      </c>
      <c r="U542" s="179" t="str">
        <f>IFERROR(VLOOKUP(N542,TD!$B$54:$F$58,2,0)," ")</f>
        <v>NA</v>
      </c>
      <c r="V542" s="179" t="str">
        <f>IFERROR(VLOOKUP(N542,TD!$B$54:$F$58,3,0)," ")</f>
        <v>NA</v>
      </c>
      <c r="W542" s="179" t="str">
        <f>IFERROR(VLOOKUP(N542,TD!$B$54:$F$58,4,0)," ")</f>
        <v>NA</v>
      </c>
      <c r="X542" s="174" t="s">
        <v>335</v>
      </c>
      <c r="Y542" s="167" t="str">
        <f>IFERROR(VLOOKUP(X542,TD!$J$55:$K$68,2,0)," ")</f>
        <v>N/A</v>
      </c>
      <c r="Z542" s="180" t="str">
        <f>CONCATENATE(X542,"-",Y542)</f>
        <v>N/A-N/A</v>
      </c>
      <c r="AA542" s="174" t="s">
        <v>335</v>
      </c>
      <c r="AB542" s="167" t="str">
        <f>IFERROR(VLOOKUP(AA542,TD!$N$55:$O$70,2,0)," ")</f>
        <v>N/A</v>
      </c>
      <c r="AC542" s="180" t="str">
        <f>CONCATENATE(AA542,"_",AB542)</f>
        <v>N/A_N/A</v>
      </c>
      <c r="AD542" s="180" t="str">
        <f>CONCATENATE(Z542," ",AC542)</f>
        <v>N/A-N/A N/A_N/A</v>
      </c>
      <c r="AE542" s="179" t="str">
        <f>CONCATENATE(U542,V542,W542,X542,AA542)</f>
        <v>NANANAN/AN/A</v>
      </c>
      <c r="AF542" s="167" t="str">
        <f>IFERROR(VLOOKUP(AD542,TD!$J$70:$K$93,2,0)," ")</f>
        <v>N/A</v>
      </c>
      <c r="AG542" s="130" t="s">
        <v>332</v>
      </c>
      <c r="AH542" s="175" t="s">
        <v>193</v>
      </c>
      <c r="AI542" s="183" t="str">
        <f>CONCATENATE(PAA[[#This Row],[Id Interno]],"-",PAA[[#This Row],[tipo de Contrato (TH talento humano - B/S bienes y/o servicios)]],"-",S542,"-",T542,"-",PAA[[#This Row],[Objeto de la contratación]])</f>
        <v>20260525-BS-No a-li-Suministro  de implementos  de  papelería y oficina para las dependencias  para la Unidad Administrativa Especial Cuerpo Oficial de Bomberos Bogotá -SGC</v>
      </c>
    </row>
    <row r="543" spans="2:35" ht="140" x14ac:dyDescent="0.35">
      <c r="B543" s="137">
        <v>20260527</v>
      </c>
      <c r="C543" s="117" t="s">
        <v>631</v>
      </c>
      <c r="D543" s="125" t="s">
        <v>78</v>
      </c>
      <c r="E543" s="125" t="s">
        <v>402</v>
      </c>
      <c r="F543" s="125" t="s">
        <v>89</v>
      </c>
      <c r="G543" s="126" t="s">
        <v>373</v>
      </c>
      <c r="H543" s="132">
        <v>12</v>
      </c>
      <c r="I543" s="178">
        <v>0</v>
      </c>
      <c r="J543" s="127">
        <v>1000000000</v>
      </c>
      <c r="K543" s="128" t="s">
        <v>398</v>
      </c>
      <c r="L543" s="176" t="s">
        <v>155</v>
      </c>
      <c r="M543" s="174" t="s">
        <v>422</v>
      </c>
      <c r="N543" s="125" t="s">
        <v>330</v>
      </c>
      <c r="O543" s="144" t="s">
        <v>886</v>
      </c>
      <c r="P543" s="174" t="s">
        <v>161</v>
      </c>
      <c r="Q543" s="129" t="s">
        <v>722</v>
      </c>
      <c r="R543" s="174" t="s">
        <v>331</v>
      </c>
      <c r="S543" s="174" t="str">
        <f>MID(PAA[[#This Row],[Meta Proyecto de Inversión]],1,4)</f>
        <v>No a</v>
      </c>
      <c r="T543" s="174" t="str">
        <f>MID(PAA[[#This Row],[Meta Proyecto de Inversión]],6,2)</f>
        <v>li</v>
      </c>
      <c r="U543" s="179" t="str">
        <f>IFERROR(VLOOKUP(N543,TD!$B$54:$F$58,2,0)," ")</f>
        <v>NA</v>
      </c>
      <c r="V543" s="179" t="str">
        <f>IFERROR(VLOOKUP(N543,TD!$B$54:$F$58,3,0)," ")</f>
        <v>NA</v>
      </c>
      <c r="W543" s="179" t="str">
        <f>IFERROR(VLOOKUP(N543,TD!$B$54:$F$58,4,0)," ")</f>
        <v>NA</v>
      </c>
      <c r="X543" s="174" t="s">
        <v>335</v>
      </c>
      <c r="Y543" s="167" t="str">
        <f>IFERROR(VLOOKUP(X543,TD!$J$55:$K$68,2,0)," ")</f>
        <v>N/A</v>
      </c>
      <c r="Z543" s="180" t="str">
        <f>CONCATENATE(X543,"-",Y543)</f>
        <v>N/A-N/A</v>
      </c>
      <c r="AA543" s="174" t="s">
        <v>335</v>
      </c>
      <c r="AB543" s="167" t="str">
        <f>IFERROR(VLOOKUP(AA543,TD!$N$55:$O$70,2,0)," ")</f>
        <v>N/A</v>
      </c>
      <c r="AC543" s="180" t="str">
        <f>CONCATENATE(AA543,"_",AB543)</f>
        <v>N/A_N/A</v>
      </c>
      <c r="AD543" s="180" t="str">
        <f>CONCATENATE(Z543," ",AC543)</f>
        <v>N/A-N/A N/A_N/A</v>
      </c>
      <c r="AE543" s="179" t="str">
        <f>CONCATENATE(U543,V543,W543,X543,AA543)</f>
        <v>NANANAN/AN/A</v>
      </c>
      <c r="AF543" s="167" t="str">
        <f>IFERROR(VLOOKUP(AD543,TD!$J$70:$K$93,2,0)," ")</f>
        <v>N/A</v>
      </c>
      <c r="AG543" s="130" t="s">
        <v>332</v>
      </c>
      <c r="AH543" s="175" t="s">
        <v>193</v>
      </c>
      <c r="AI543" s="183" t="str">
        <f>CONCATENATE(PAA[[#This Row],[Id Interno]],"-",PAA[[#This Row],[tipo de Contrato (TH talento humano - B/S bienes y/o servicios)]],"-",S543,"-",T543,"-",PAA[[#This Row],[Objeto de la contratación]])</f>
        <v>20260527-BS-No a-li-Prestar el servicio de vigilancia y seguridad privada en la modalidad de vigilancia fija, según especificaciones técnicas, en las instalaciones donde la UAE Especial Cuerpo Oficial de Bomberos requiera-SGC</v>
      </c>
    </row>
    <row r="544" spans="2:35" ht="56" x14ac:dyDescent="0.35">
      <c r="B544" s="137">
        <v>20260528</v>
      </c>
      <c r="C544" s="125" t="s">
        <v>713</v>
      </c>
      <c r="D544" s="125" t="s">
        <v>92</v>
      </c>
      <c r="E544" s="125" t="s">
        <v>402</v>
      </c>
      <c r="F544" s="125" t="s">
        <v>111</v>
      </c>
      <c r="G544" s="160" t="s">
        <v>375</v>
      </c>
      <c r="H544" s="132">
        <v>7</v>
      </c>
      <c r="I544" s="178">
        <v>0</v>
      </c>
      <c r="J544" s="127">
        <v>48900000</v>
      </c>
      <c r="K544" s="128" t="s">
        <v>398</v>
      </c>
      <c r="L544" s="176" t="s">
        <v>155</v>
      </c>
      <c r="M544" s="174" t="s">
        <v>422</v>
      </c>
      <c r="N544" s="125" t="s">
        <v>330</v>
      </c>
      <c r="O544" s="145" t="s">
        <v>886</v>
      </c>
      <c r="P544" s="174" t="s">
        <v>161</v>
      </c>
      <c r="Q544" s="129" t="s">
        <v>954</v>
      </c>
      <c r="R544" s="174" t="s">
        <v>331</v>
      </c>
      <c r="S544" s="174" t="str">
        <f>MID(PAA[[#This Row],[Meta Proyecto de Inversión]],1,4)</f>
        <v>No a</v>
      </c>
      <c r="T544" s="174" t="str">
        <f>MID(PAA[[#This Row],[Meta Proyecto de Inversión]],6,2)</f>
        <v>li</v>
      </c>
      <c r="U544" s="179" t="str">
        <f>IFERROR(VLOOKUP(N544,TD!$B$54:$F$58,2,0)," ")</f>
        <v>NA</v>
      </c>
      <c r="V544" s="179" t="str">
        <f>IFERROR(VLOOKUP(N544,TD!$B$54:$F$58,3,0)," ")</f>
        <v>NA</v>
      </c>
      <c r="W544" s="179" t="str">
        <f>IFERROR(VLOOKUP(N544,TD!$B$54:$F$58,4,0)," ")</f>
        <v>NA</v>
      </c>
      <c r="X544" s="174" t="s">
        <v>335</v>
      </c>
      <c r="Y544" s="167" t="str">
        <f>IFERROR(VLOOKUP(X544,TD!$J$55:$K$68,2,0)," ")</f>
        <v>N/A</v>
      </c>
      <c r="Z544" s="180" t="str">
        <f>CONCATENATE(X544,"-",Y544)</f>
        <v>N/A-N/A</v>
      </c>
      <c r="AA544" s="174" t="s">
        <v>335</v>
      </c>
      <c r="AB544" s="167" t="str">
        <f>IFERROR(VLOOKUP(AA544,TD!$N$55:$O$70,2,0)," ")</f>
        <v>N/A</v>
      </c>
      <c r="AC544" s="180" t="str">
        <f>CONCATENATE(AA544,"_",AB544)</f>
        <v>N/A_N/A</v>
      </c>
      <c r="AD544" s="180" t="str">
        <f>CONCATENATE(Z544," ",AC544)</f>
        <v>N/A-N/A N/A_N/A</v>
      </c>
      <c r="AE544" s="179" t="str">
        <f>CONCATENATE(U544,V544,W544,X544,AA544)</f>
        <v>NANANAN/AN/A</v>
      </c>
      <c r="AF544" s="167" t="str">
        <f>IFERROR(VLOOKUP(AD544,TD!$J$70:$K$93,2,0)," ")</f>
        <v>N/A</v>
      </c>
      <c r="AG544" s="127" t="s">
        <v>332</v>
      </c>
      <c r="AH544" s="175" t="s">
        <v>193</v>
      </c>
      <c r="AI544" s="183" t="str">
        <f>CONCATENATE(PAA[[#This Row],[Id Interno]],"-",PAA[[#This Row],[tipo de Contrato (TH talento humano - B/S bienes y/o servicios)]],"-",S544,"-",T544,"-",PAA[[#This Row],[Objeto de la contratación]])</f>
        <v>20260528-BS-No a-li-Suministro de insumos para lavandería-SGC</v>
      </c>
    </row>
    <row r="545" spans="2:35" ht="28" x14ac:dyDescent="0.35">
      <c r="B545" s="137">
        <v>20260529</v>
      </c>
      <c r="C545" s="117" t="s">
        <v>714</v>
      </c>
      <c r="D545" s="125" t="s">
        <v>105</v>
      </c>
      <c r="E545" s="125" t="s">
        <v>402</v>
      </c>
      <c r="F545" s="125" t="s">
        <v>106</v>
      </c>
      <c r="G545" s="126" t="s">
        <v>373</v>
      </c>
      <c r="H545" s="132">
        <v>12</v>
      </c>
      <c r="I545" s="178">
        <v>0</v>
      </c>
      <c r="J545" s="127">
        <v>178000000</v>
      </c>
      <c r="K545" s="128" t="s">
        <v>398</v>
      </c>
      <c r="L545" s="176" t="s">
        <v>155</v>
      </c>
      <c r="M545" s="174" t="s">
        <v>422</v>
      </c>
      <c r="N545" s="125" t="s">
        <v>330</v>
      </c>
      <c r="O545" s="144" t="s">
        <v>886</v>
      </c>
      <c r="P545" s="174" t="s">
        <v>161</v>
      </c>
      <c r="Q545" s="129" t="s">
        <v>741</v>
      </c>
      <c r="R545" s="174" t="s">
        <v>331</v>
      </c>
      <c r="S545" s="174" t="str">
        <f>MID(PAA[[#This Row],[Meta Proyecto de Inversión]],1,4)</f>
        <v>No a</v>
      </c>
      <c r="T545" s="174" t="str">
        <f>MID(PAA[[#This Row],[Meta Proyecto de Inversión]],6,2)</f>
        <v>li</v>
      </c>
      <c r="U545" s="179" t="str">
        <f>IFERROR(VLOOKUP(N545,TD!$B$54:$F$58,2,0)," ")</f>
        <v>NA</v>
      </c>
      <c r="V545" s="179" t="str">
        <f>IFERROR(VLOOKUP(N545,TD!$B$54:$F$58,3,0)," ")</f>
        <v>NA</v>
      </c>
      <c r="W545" s="179" t="str">
        <f>IFERROR(VLOOKUP(N545,TD!$B$54:$F$58,4,0)," ")</f>
        <v>NA</v>
      </c>
      <c r="X545" s="174" t="s">
        <v>335</v>
      </c>
      <c r="Y545" s="167" t="str">
        <f>IFERROR(VLOOKUP(X545,TD!$J$55:$K$68,2,0)," ")</f>
        <v>N/A</v>
      </c>
      <c r="Z545" s="180" t="str">
        <f>CONCATENATE(X545,"-",Y545)</f>
        <v>N/A-N/A</v>
      </c>
      <c r="AA545" s="174" t="s">
        <v>335</v>
      </c>
      <c r="AB545" s="167" t="str">
        <f>IFERROR(VLOOKUP(AA545,TD!$N$55:$O$70,2,0)," ")</f>
        <v>N/A</v>
      </c>
      <c r="AC545" s="180" t="str">
        <f>CONCATENATE(AA545,"_",AB545)</f>
        <v>N/A_N/A</v>
      </c>
      <c r="AD545" s="180" t="str">
        <f>CONCATENATE(Z545," ",AC545)</f>
        <v>N/A-N/A N/A_N/A</v>
      </c>
      <c r="AE545" s="179" t="str">
        <f>CONCATENATE(U545,V545,W545,X545,AA545)</f>
        <v>NANANAN/AN/A</v>
      </c>
      <c r="AF545" s="167" t="str">
        <f>IFERROR(VLOOKUP(AD545,TD!$J$70:$K$93,2,0)," ")</f>
        <v>N/A</v>
      </c>
      <c r="AG545" s="130" t="s">
        <v>332</v>
      </c>
      <c r="AH545" s="175" t="s">
        <v>193</v>
      </c>
      <c r="AI545" s="183" t="str">
        <f>CONCATENATE(PAA[[#This Row],[Id Interno]],"-",PAA[[#This Row],[tipo de Contrato (TH talento humano - B/S bienes y/o servicios)]],"-",S545,"-",T545,"-",PAA[[#This Row],[Objeto de la contratación]])</f>
        <v>20260529-BS-No a-li-Arrendamiento de instalaciones estación Ferias-SGC</v>
      </c>
    </row>
    <row r="546" spans="2:35" ht="28" x14ac:dyDescent="0.35">
      <c r="B546" s="137">
        <v>20260530</v>
      </c>
      <c r="C546" s="125" t="s">
        <v>715</v>
      </c>
      <c r="D546" s="125" t="s">
        <v>105</v>
      </c>
      <c r="E546" s="125" t="s">
        <v>402</v>
      </c>
      <c r="F546" s="125" t="s">
        <v>136</v>
      </c>
      <c r="G546" s="160" t="s">
        <v>377</v>
      </c>
      <c r="H546" s="132">
        <v>2</v>
      </c>
      <c r="I546" s="178">
        <v>0</v>
      </c>
      <c r="J546" s="127">
        <v>5241332</v>
      </c>
      <c r="K546" s="128" t="s">
        <v>398</v>
      </c>
      <c r="L546" s="176" t="s">
        <v>155</v>
      </c>
      <c r="M546" s="174" t="s">
        <v>422</v>
      </c>
      <c r="N546" s="125" t="s">
        <v>330</v>
      </c>
      <c r="O546" s="145" t="s">
        <v>886</v>
      </c>
      <c r="P546" s="174" t="s">
        <v>161</v>
      </c>
      <c r="Q546" s="129" t="s">
        <v>742</v>
      </c>
      <c r="R546" s="174" t="s">
        <v>331</v>
      </c>
      <c r="S546" s="174" t="str">
        <f>MID(PAA[[#This Row],[Meta Proyecto de Inversión]],1,4)</f>
        <v>No a</v>
      </c>
      <c r="T546" s="174" t="str">
        <f>MID(PAA[[#This Row],[Meta Proyecto de Inversión]],6,2)</f>
        <v>li</v>
      </c>
      <c r="U546" s="179" t="str">
        <f>IFERROR(VLOOKUP(N546,TD!$B$54:$F$58,2,0)," ")</f>
        <v>NA</v>
      </c>
      <c r="V546" s="179" t="str">
        <f>IFERROR(VLOOKUP(N546,TD!$B$54:$F$58,3,0)," ")</f>
        <v>NA</v>
      </c>
      <c r="W546" s="179" t="str">
        <f>IFERROR(VLOOKUP(N546,TD!$B$54:$F$58,4,0)," ")</f>
        <v>NA</v>
      </c>
      <c r="X546" s="174" t="s">
        <v>335</v>
      </c>
      <c r="Y546" s="167" t="str">
        <f>IFERROR(VLOOKUP(X546,TD!$J$55:$K$68,2,0)," ")</f>
        <v>N/A</v>
      </c>
      <c r="Z546" s="180" t="str">
        <f>CONCATENATE(X546,"-",Y546)</f>
        <v>N/A-N/A</v>
      </c>
      <c r="AA546" s="174" t="s">
        <v>335</v>
      </c>
      <c r="AB546" s="167" t="str">
        <f>IFERROR(VLOOKUP(AA546,TD!$N$55:$O$70,2,0)," ")</f>
        <v>N/A</v>
      </c>
      <c r="AC546" s="180" t="str">
        <f>CONCATENATE(AA546,"_",AB546)</f>
        <v>N/A_N/A</v>
      </c>
      <c r="AD546" s="180" t="str">
        <f>CONCATENATE(Z546," ",AC546)</f>
        <v>N/A-N/A N/A_N/A</v>
      </c>
      <c r="AE546" s="179" t="str">
        <f>CONCATENATE(U546,V546,W546,X546,AA546)</f>
        <v>NANANAN/AN/A</v>
      </c>
      <c r="AF546" s="167" t="str">
        <f>IFERROR(VLOOKUP(AD546,TD!$J$70:$K$93,2,0)," ")</f>
        <v>N/A</v>
      </c>
      <c r="AG546" s="127" t="s">
        <v>332</v>
      </c>
      <c r="AH546" s="181" t="s">
        <v>194</v>
      </c>
      <c r="AI546" s="183" t="str">
        <f>CONCATENATE(PAA[[#This Row],[Id Interno]],"-",PAA[[#This Row],[tipo de Contrato (TH talento humano - B/S bienes y/o servicios)]],"-",S546,"-",T546,"-",PAA[[#This Row],[Objeto de la contratación]])</f>
        <v>20260530-BS-No a-li-Adición y prórroga No. 1 al contrato 491 de 2025 que tiene como objeto “Mantenimiento ascensor nueva Estación de Bomberos de Fontibón-SGC</v>
      </c>
    </row>
    <row r="547" spans="2:35" ht="42" x14ac:dyDescent="0.35">
      <c r="B547" s="137">
        <v>20260531</v>
      </c>
      <c r="C547" s="125" t="s">
        <v>716</v>
      </c>
      <c r="D547" s="125" t="s">
        <v>105</v>
      </c>
      <c r="E547" s="125" t="s">
        <v>402</v>
      </c>
      <c r="F547" s="125" t="s">
        <v>136</v>
      </c>
      <c r="G547" s="160" t="s">
        <v>380</v>
      </c>
      <c r="H547" s="132">
        <v>6</v>
      </c>
      <c r="I547" s="178">
        <v>0</v>
      </c>
      <c r="J547" s="127">
        <v>8658668</v>
      </c>
      <c r="K547" s="128" t="s">
        <v>398</v>
      </c>
      <c r="L547" s="176" t="s">
        <v>155</v>
      </c>
      <c r="M547" s="174" t="s">
        <v>422</v>
      </c>
      <c r="N547" s="125" t="s">
        <v>330</v>
      </c>
      <c r="O547" s="145" t="s">
        <v>886</v>
      </c>
      <c r="P547" s="174" t="s">
        <v>161</v>
      </c>
      <c r="Q547" s="129" t="s">
        <v>742</v>
      </c>
      <c r="R547" s="174" t="s">
        <v>331</v>
      </c>
      <c r="S547" s="174" t="str">
        <f>MID(PAA[[#This Row],[Meta Proyecto de Inversión]],1,4)</f>
        <v>No a</v>
      </c>
      <c r="T547" s="174" t="str">
        <f>MID(PAA[[#This Row],[Meta Proyecto de Inversión]],6,2)</f>
        <v>li</v>
      </c>
      <c r="U547" s="179" t="str">
        <f>IFERROR(VLOOKUP(N547,TD!$B$54:$F$58,2,0)," ")</f>
        <v>NA</v>
      </c>
      <c r="V547" s="179" t="str">
        <f>IFERROR(VLOOKUP(N547,TD!$B$54:$F$58,3,0)," ")</f>
        <v>NA</v>
      </c>
      <c r="W547" s="179" t="str">
        <f>IFERROR(VLOOKUP(N547,TD!$B$54:$F$58,4,0)," ")</f>
        <v>NA</v>
      </c>
      <c r="X547" s="174" t="s">
        <v>335</v>
      </c>
      <c r="Y547" s="167" t="str">
        <f>IFERROR(VLOOKUP(X547,TD!$J$55:$K$68,2,0)," ")</f>
        <v>N/A</v>
      </c>
      <c r="Z547" s="180" t="str">
        <f>CONCATENATE(X547,"-",Y547)</f>
        <v>N/A-N/A</v>
      </c>
      <c r="AA547" s="174" t="s">
        <v>335</v>
      </c>
      <c r="AB547" s="167" t="str">
        <f>IFERROR(VLOOKUP(AA547,TD!$N$55:$O$70,2,0)," ")</f>
        <v>N/A</v>
      </c>
      <c r="AC547" s="180" t="str">
        <f>CONCATENATE(AA547,"_",AB547)</f>
        <v>N/A_N/A</v>
      </c>
      <c r="AD547" s="180" t="str">
        <f>CONCATENATE(Z547," ",AC547)</f>
        <v>N/A-N/A N/A_N/A</v>
      </c>
      <c r="AE547" s="179" t="str">
        <f>CONCATENATE(U547,V547,W547,X547,AA547)</f>
        <v>NANANAN/AN/A</v>
      </c>
      <c r="AF547" s="167" t="str">
        <f>IFERROR(VLOOKUP(AD547,TD!$J$70:$K$93,2,0)," ")</f>
        <v>N/A</v>
      </c>
      <c r="AG547" s="127" t="s">
        <v>332</v>
      </c>
      <c r="AH547" s="181" t="s">
        <v>193</v>
      </c>
      <c r="AI547" s="183" t="str">
        <f>CONCATENATE(PAA[[#This Row],[Id Interno]],"-",PAA[[#This Row],[tipo de Contrato (TH talento humano - B/S bienes y/o servicios)]],"-",S547,"-",T547,"-",PAA[[#This Row],[Objeto de la contratación]])</f>
        <v>20260531-BS-No a-li-Mantenimiento correctivo y preventivo con suministro de repuestos para el ascensor estación de bomberos Fontibón B6 -SGC</v>
      </c>
    </row>
    <row r="548" spans="2:35" ht="42" x14ac:dyDescent="0.35">
      <c r="B548" s="146">
        <v>20260532</v>
      </c>
      <c r="C548" s="117" t="s">
        <v>976</v>
      </c>
      <c r="D548" s="117" t="s">
        <v>105</v>
      </c>
      <c r="E548" s="117" t="s">
        <v>402</v>
      </c>
      <c r="F548" s="117" t="s">
        <v>136</v>
      </c>
      <c r="G548" s="126" t="s">
        <v>376</v>
      </c>
      <c r="H548" s="147">
        <v>2</v>
      </c>
      <c r="I548" s="190">
        <v>0</v>
      </c>
      <c r="J548" s="130">
        <v>10250000</v>
      </c>
      <c r="K548" s="148" t="s">
        <v>398</v>
      </c>
      <c r="L548" s="177" t="s">
        <v>155</v>
      </c>
      <c r="M548" s="186" t="s">
        <v>422</v>
      </c>
      <c r="N548" s="117" t="s">
        <v>330</v>
      </c>
      <c r="O548" s="144" t="s">
        <v>886</v>
      </c>
      <c r="P548" s="186" t="s">
        <v>161</v>
      </c>
      <c r="Q548" s="149" t="s">
        <v>742</v>
      </c>
      <c r="R548" s="186" t="s">
        <v>331</v>
      </c>
      <c r="S548" s="174" t="str">
        <f>MID(PAA[[#This Row],[Meta Proyecto de Inversión]],1,4)</f>
        <v>No a</v>
      </c>
      <c r="T548" s="174" t="str">
        <f>MID(PAA[[#This Row],[Meta Proyecto de Inversión]],6,2)</f>
        <v>li</v>
      </c>
      <c r="U548" s="187" t="str">
        <f>IFERROR(VLOOKUP(N548,TD!$B$54:$F$58,2,0)," ")</f>
        <v>NA</v>
      </c>
      <c r="V548" s="187" t="str">
        <f>IFERROR(VLOOKUP(N548,TD!$B$54:$F$58,3,0)," ")</f>
        <v>NA</v>
      </c>
      <c r="W548" s="187" t="str">
        <f>IFERROR(VLOOKUP(N548,TD!$B$54:$F$58,4,0)," ")</f>
        <v>NA</v>
      </c>
      <c r="X548" s="186" t="s">
        <v>335</v>
      </c>
      <c r="Y548" s="172" t="str">
        <f>IFERROR(VLOOKUP(X548,TD!$J$55:$K$68,2,0)," ")</f>
        <v>N/A</v>
      </c>
      <c r="Z548" s="180" t="str">
        <f>CONCATENATE(X548,"-",Y548)</f>
        <v>N/A-N/A</v>
      </c>
      <c r="AA548" s="186" t="s">
        <v>335</v>
      </c>
      <c r="AB548" s="172" t="str">
        <f>IFERROR(VLOOKUP(AA548,TD!$N$55:$O$70,2,0)," ")</f>
        <v>N/A</v>
      </c>
      <c r="AC548" s="180" t="str">
        <f>CONCATENATE(AA548,"_",AB548)</f>
        <v>N/A_N/A</v>
      </c>
      <c r="AD548" s="180" t="str">
        <f>CONCATENATE(Z548," ",AC548)</f>
        <v>N/A-N/A N/A_N/A</v>
      </c>
      <c r="AE548" s="187" t="str">
        <f>CONCATENATE(U548,V548,W548,X548,AA548)</f>
        <v>NANANAN/AN/A</v>
      </c>
      <c r="AF548" s="172" t="str">
        <f>IFERROR(VLOOKUP(AD548,TD!$J$70:$K$93,2,0)," ")</f>
        <v>N/A</v>
      </c>
      <c r="AG548" s="130" t="s">
        <v>332</v>
      </c>
      <c r="AH548" s="188" t="s">
        <v>194</v>
      </c>
      <c r="AI548" s="228" t="str">
        <f>CONCATENATE(PAA[[#This Row],[Id Interno]],"-",PAA[[#This Row],[tipo de Contrato (TH talento humano - B/S bienes y/o servicios)]],"-",S548,"-",T548,"-",PAA[[#This Row],[Objeto de la contratación]])</f>
        <v>20260532-BS-No a-li-Adición No. 1 al contrato 586 de 2025 que tiene como objeto “Mantenimiento correctivo y preventivo con suministro de repuestos para los ascensores edificio comando-SGC</v>
      </c>
    </row>
    <row r="549" spans="2:35" ht="42" x14ac:dyDescent="0.35">
      <c r="B549" s="146">
        <v>20260533</v>
      </c>
      <c r="C549" s="117" t="s">
        <v>717</v>
      </c>
      <c r="D549" s="117" t="s">
        <v>105</v>
      </c>
      <c r="E549" s="117" t="s">
        <v>402</v>
      </c>
      <c r="F549" s="117" t="s">
        <v>136</v>
      </c>
      <c r="G549" s="126" t="s">
        <v>380</v>
      </c>
      <c r="H549" s="147">
        <v>7</v>
      </c>
      <c r="I549" s="190">
        <v>0</v>
      </c>
      <c r="J549" s="130">
        <v>22050000</v>
      </c>
      <c r="K549" s="148" t="s">
        <v>398</v>
      </c>
      <c r="L549" s="177" t="s">
        <v>155</v>
      </c>
      <c r="M549" s="186" t="s">
        <v>422</v>
      </c>
      <c r="N549" s="117" t="s">
        <v>330</v>
      </c>
      <c r="O549" s="144" t="s">
        <v>886</v>
      </c>
      <c r="P549" s="186" t="s">
        <v>161</v>
      </c>
      <c r="Q549" s="149" t="s">
        <v>742</v>
      </c>
      <c r="R549" s="186" t="s">
        <v>331</v>
      </c>
      <c r="S549" s="174" t="str">
        <f>MID(PAA[[#This Row],[Meta Proyecto de Inversión]],1,4)</f>
        <v>No a</v>
      </c>
      <c r="T549" s="174" t="str">
        <f>MID(PAA[[#This Row],[Meta Proyecto de Inversión]],6,2)</f>
        <v>li</v>
      </c>
      <c r="U549" s="187" t="str">
        <f>IFERROR(VLOOKUP(N549,TD!$B$54:$F$58,2,0)," ")</f>
        <v>NA</v>
      </c>
      <c r="V549" s="187" t="str">
        <f>IFERROR(VLOOKUP(N549,TD!$B$54:$F$58,3,0)," ")</f>
        <v>NA</v>
      </c>
      <c r="W549" s="187" t="str">
        <f>IFERROR(VLOOKUP(N549,TD!$B$54:$F$58,4,0)," ")</f>
        <v>NA</v>
      </c>
      <c r="X549" s="186" t="s">
        <v>335</v>
      </c>
      <c r="Y549" s="172" t="str">
        <f>IFERROR(VLOOKUP(X549,TD!$J$55:$K$68,2,0)," ")</f>
        <v>N/A</v>
      </c>
      <c r="Z549" s="180" t="str">
        <f>CONCATENATE(X549,"-",Y549)</f>
        <v>N/A-N/A</v>
      </c>
      <c r="AA549" s="186" t="s">
        <v>335</v>
      </c>
      <c r="AB549" s="172" t="str">
        <f>IFERROR(VLOOKUP(AA549,TD!$N$55:$O$70,2,0)," ")</f>
        <v>N/A</v>
      </c>
      <c r="AC549" s="180" t="str">
        <f>CONCATENATE(AA549,"_",AB549)</f>
        <v>N/A_N/A</v>
      </c>
      <c r="AD549" s="180" t="str">
        <f>CONCATENATE(Z549," ",AC549)</f>
        <v>N/A-N/A N/A_N/A</v>
      </c>
      <c r="AE549" s="187" t="str">
        <f>CONCATENATE(U549,V549,W549,X549,AA549)</f>
        <v>NANANAN/AN/A</v>
      </c>
      <c r="AF549" s="172" t="str">
        <f>IFERROR(VLOOKUP(AD549,TD!$J$70:$K$93,2,0)," ")</f>
        <v>N/A</v>
      </c>
      <c r="AG549" s="130" t="s">
        <v>332</v>
      </c>
      <c r="AH549" s="188" t="s">
        <v>193</v>
      </c>
      <c r="AI549" s="228" t="str">
        <f>CONCATENATE(PAA[[#This Row],[Id Interno]],"-",PAA[[#This Row],[tipo de Contrato (TH talento humano - B/S bienes y/o servicios)]],"-",S549,"-",T549,"-",PAA[[#This Row],[Objeto de la contratación]])</f>
        <v>20260533-BS-No a-li-Mantenimiento correctivo y preventivo con suministro de repuestos para los ascensores edificio comando-SGC</v>
      </c>
    </row>
    <row r="550" spans="2:35" ht="28" x14ac:dyDescent="0.35">
      <c r="B550" s="137">
        <v>20260534</v>
      </c>
      <c r="C550" s="125" t="s">
        <v>718</v>
      </c>
      <c r="D550" s="125" t="s">
        <v>105</v>
      </c>
      <c r="E550" s="125" t="s">
        <v>402</v>
      </c>
      <c r="F550" s="125" t="s">
        <v>136</v>
      </c>
      <c r="G550" s="160" t="s">
        <v>376</v>
      </c>
      <c r="H550" s="132">
        <v>2</v>
      </c>
      <c r="I550" s="178">
        <v>0</v>
      </c>
      <c r="J550" s="127">
        <v>3798370</v>
      </c>
      <c r="K550" s="128" t="s">
        <v>398</v>
      </c>
      <c r="L550" s="176" t="s">
        <v>155</v>
      </c>
      <c r="M550" s="174" t="s">
        <v>422</v>
      </c>
      <c r="N550" s="125" t="s">
        <v>330</v>
      </c>
      <c r="O550" s="145" t="s">
        <v>886</v>
      </c>
      <c r="P550" s="174" t="s">
        <v>161</v>
      </c>
      <c r="Q550" s="129" t="s">
        <v>742</v>
      </c>
      <c r="R550" s="174" t="s">
        <v>331</v>
      </c>
      <c r="S550" s="174" t="str">
        <f>MID(PAA[[#This Row],[Meta Proyecto de Inversión]],1,4)</f>
        <v>No a</v>
      </c>
      <c r="T550" s="174" t="str">
        <f>MID(PAA[[#This Row],[Meta Proyecto de Inversión]],6,2)</f>
        <v>li</v>
      </c>
      <c r="U550" s="179" t="str">
        <f>IFERROR(VLOOKUP(N550,TD!$B$54:$F$58,2,0)," ")</f>
        <v>NA</v>
      </c>
      <c r="V550" s="179" t="str">
        <f>IFERROR(VLOOKUP(N550,TD!$B$54:$F$58,3,0)," ")</f>
        <v>NA</v>
      </c>
      <c r="W550" s="179" t="str">
        <f>IFERROR(VLOOKUP(N550,TD!$B$54:$F$58,4,0)," ")</f>
        <v>NA</v>
      </c>
      <c r="X550" s="174" t="s">
        <v>335</v>
      </c>
      <c r="Y550" s="167" t="str">
        <f>IFERROR(VLOOKUP(X550,TD!$J$55:$K$68,2,0)," ")</f>
        <v>N/A</v>
      </c>
      <c r="Z550" s="180" t="str">
        <f>CONCATENATE(X550,"-",Y550)</f>
        <v>N/A-N/A</v>
      </c>
      <c r="AA550" s="174" t="s">
        <v>335</v>
      </c>
      <c r="AB550" s="167" t="str">
        <f>IFERROR(VLOOKUP(AA550,TD!$N$55:$O$70,2,0)," ")</f>
        <v>N/A</v>
      </c>
      <c r="AC550" s="180" t="str">
        <f>CONCATENATE(AA550,"_",AB550)</f>
        <v>N/A_N/A</v>
      </c>
      <c r="AD550" s="180" t="str">
        <f>CONCATENATE(Z550," ",AC550)</f>
        <v>N/A-N/A N/A_N/A</v>
      </c>
      <c r="AE550" s="179" t="str">
        <f>CONCATENATE(U550,V550,W550,X550,AA550)</f>
        <v>NANANAN/AN/A</v>
      </c>
      <c r="AF550" s="167" t="str">
        <f>IFERROR(VLOOKUP(AD550,TD!$J$70:$K$93,2,0)," ")</f>
        <v>N/A</v>
      </c>
      <c r="AG550" s="127" t="s">
        <v>332</v>
      </c>
      <c r="AH550" s="181" t="s">
        <v>194</v>
      </c>
      <c r="AI550" s="183" t="str">
        <f>CONCATENATE(PAA[[#This Row],[Id Interno]],"-",PAA[[#This Row],[tipo de Contrato (TH talento humano - B/S bienes y/o servicios)]],"-",S550,"-",T550,"-",PAA[[#This Row],[Objeto de la contratación]])</f>
        <v>20260534-BS-No a-li-Adición y prórroga No. 1 al contrato 638 de 2025 que tiene como objeto “Mantenimiento correctivo y preventivo con suministro de repuestos ascensor estación de bomberos Bellavista B-9 - SGC</v>
      </c>
    </row>
    <row r="551" spans="2:35" ht="56" x14ac:dyDescent="0.35">
      <c r="B551" s="137">
        <v>20260535</v>
      </c>
      <c r="C551" s="125" t="s">
        <v>719</v>
      </c>
      <c r="D551" s="125" t="s">
        <v>105</v>
      </c>
      <c r="E551" s="125" t="s">
        <v>402</v>
      </c>
      <c r="F551" s="125" t="s">
        <v>136</v>
      </c>
      <c r="G551" s="160" t="s">
        <v>380</v>
      </c>
      <c r="H551" s="132">
        <v>7</v>
      </c>
      <c r="I551" s="178">
        <v>0</v>
      </c>
      <c r="J551" s="127">
        <v>10001630</v>
      </c>
      <c r="K551" s="128" t="s">
        <v>398</v>
      </c>
      <c r="L551" s="176" t="s">
        <v>155</v>
      </c>
      <c r="M551" s="174" t="s">
        <v>422</v>
      </c>
      <c r="N551" s="125" t="s">
        <v>330</v>
      </c>
      <c r="O551" s="145" t="s">
        <v>886</v>
      </c>
      <c r="P551" s="174" t="s">
        <v>161</v>
      </c>
      <c r="Q551" s="129" t="s">
        <v>742</v>
      </c>
      <c r="R551" s="174" t="s">
        <v>331</v>
      </c>
      <c r="S551" s="174" t="str">
        <f>MID(PAA[[#This Row],[Meta Proyecto de Inversión]],1,4)</f>
        <v>No a</v>
      </c>
      <c r="T551" s="174" t="str">
        <f>MID(PAA[[#This Row],[Meta Proyecto de Inversión]],6,2)</f>
        <v>li</v>
      </c>
      <c r="U551" s="179" t="str">
        <f>IFERROR(VLOOKUP(N551,TD!$B$54:$F$58,2,0)," ")</f>
        <v>NA</v>
      </c>
      <c r="V551" s="179" t="str">
        <f>IFERROR(VLOOKUP(N551,TD!$B$54:$F$58,3,0)," ")</f>
        <v>NA</v>
      </c>
      <c r="W551" s="179" t="str">
        <f>IFERROR(VLOOKUP(N551,TD!$B$54:$F$58,4,0)," ")</f>
        <v>NA</v>
      </c>
      <c r="X551" s="174" t="s">
        <v>335</v>
      </c>
      <c r="Y551" s="167" t="str">
        <f>IFERROR(VLOOKUP(X551,TD!$J$55:$K$68,2,0)," ")</f>
        <v>N/A</v>
      </c>
      <c r="Z551" s="180" t="str">
        <f>CONCATENATE(X551,"-",Y551)</f>
        <v>N/A-N/A</v>
      </c>
      <c r="AA551" s="174" t="s">
        <v>335</v>
      </c>
      <c r="AB551" s="167" t="str">
        <f>IFERROR(VLOOKUP(AA551,TD!$N$55:$O$70,2,0)," ")</f>
        <v>N/A</v>
      </c>
      <c r="AC551" s="180" t="str">
        <f>CONCATENATE(AA551,"_",AB551)</f>
        <v>N/A_N/A</v>
      </c>
      <c r="AD551" s="180" t="str">
        <f>CONCATENATE(Z551," ",AC551)</f>
        <v>N/A-N/A N/A_N/A</v>
      </c>
      <c r="AE551" s="179" t="str">
        <f>CONCATENATE(U551,V551,W551,X551,AA551)</f>
        <v>NANANAN/AN/A</v>
      </c>
      <c r="AF551" s="167" t="str">
        <f>IFERROR(VLOOKUP(AD551,TD!$J$70:$K$93,2,0)," ")</f>
        <v>N/A</v>
      </c>
      <c r="AG551" s="127" t="s">
        <v>332</v>
      </c>
      <c r="AH551" s="181" t="s">
        <v>193</v>
      </c>
      <c r="AI551" s="183" t="str">
        <f>CONCATENATE(PAA[[#This Row],[Id Interno]],"-",PAA[[#This Row],[tipo de Contrato (TH talento humano - B/S bienes y/o servicios)]],"-",S551,"-",T551,"-",PAA[[#This Row],[Objeto de la contratación]])</f>
        <v>20260535-BS-No a-li-Mantenimiento correctivo y preventivo con suministro de repuestos ascensor estación de bomberos Bellavista B-9 - SGC</v>
      </c>
    </row>
    <row r="552" spans="2:35" ht="42" x14ac:dyDescent="0.35">
      <c r="B552" s="146">
        <v>20260537</v>
      </c>
      <c r="C552" s="117" t="s">
        <v>720</v>
      </c>
      <c r="D552" s="125" t="s">
        <v>78</v>
      </c>
      <c r="E552" s="125" t="s">
        <v>402</v>
      </c>
      <c r="F552" s="125" t="s">
        <v>133</v>
      </c>
      <c r="G552" s="126" t="s">
        <v>376</v>
      </c>
      <c r="H552" s="132">
        <v>12</v>
      </c>
      <c r="I552" s="178">
        <v>0</v>
      </c>
      <c r="J552" s="127">
        <v>3736215797</v>
      </c>
      <c r="K552" s="128" t="s">
        <v>398</v>
      </c>
      <c r="L552" s="176" t="s">
        <v>155</v>
      </c>
      <c r="M552" s="174" t="s">
        <v>422</v>
      </c>
      <c r="N552" s="125" t="s">
        <v>330</v>
      </c>
      <c r="O552" s="144" t="s">
        <v>886</v>
      </c>
      <c r="P552" s="174" t="s">
        <v>161</v>
      </c>
      <c r="Q552" s="129" t="s">
        <v>743</v>
      </c>
      <c r="R552" s="174" t="s">
        <v>331</v>
      </c>
      <c r="S552" s="174" t="str">
        <f>MID(PAA[[#This Row],[Meta Proyecto de Inversión]],1,4)</f>
        <v>No a</v>
      </c>
      <c r="T552" s="174" t="str">
        <f>MID(PAA[[#This Row],[Meta Proyecto de Inversión]],6,2)</f>
        <v>li</v>
      </c>
      <c r="U552" s="179" t="str">
        <f>IFERROR(VLOOKUP(N552,TD!$B$54:$F$58,2,0)," ")</f>
        <v>NA</v>
      </c>
      <c r="V552" s="179" t="str">
        <f>IFERROR(VLOOKUP(N552,TD!$B$54:$F$58,3,0)," ")</f>
        <v>NA</v>
      </c>
      <c r="W552" s="179" t="str">
        <f>IFERROR(VLOOKUP(N552,TD!$B$54:$F$58,4,0)," ")</f>
        <v>NA</v>
      </c>
      <c r="X552" s="174" t="s">
        <v>335</v>
      </c>
      <c r="Y552" s="167" t="str">
        <f>IFERROR(VLOOKUP(X552,TD!$J$55:$K$68,2,0)," ")</f>
        <v>N/A</v>
      </c>
      <c r="Z552" s="180" t="str">
        <f>CONCATENATE(X552,"-",Y552)</f>
        <v>N/A-N/A</v>
      </c>
      <c r="AA552" s="174" t="s">
        <v>335</v>
      </c>
      <c r="AB552" s="167" t="str">
        <f>IFERROR(VLOOKUP(AA552,TD!$N$55:$O$70,2,0)," ")</f>
        <v>N/A</v>
      </c>
      <c r="AC552" s="180" t="str">
        <f>CONCATENATE(AA552,"_",AB552)</f>
        <v>N/A_N/A</v>
      </c>
      <c r="AD552" s="180" t="str">
        <f>CONCATENATE(Z552," ",AC552)</f>
        <v>N/A-N/A N/A_N/A</v>
      </c>
      <c r="AE552" s="179" t="str">
        <f>CONCATENATE(U552,V552,W552,X552,AA552)</f>
        <v>NANANAN/AN/A</v>
      </c>
      <c r="AF552" s="167" t="str">
        <f>IFERROR(VLOOKUP(AD552,TD!$J$70:$K$93,2,0)," ")</f>
        <v>N/A</v>
      </c>
      <c r="AG552" s="130" t="s">
        <v>332</v>
      </c>
      <c r="AH552" s="181" t="s">
        <v>193</v>
      </c>
      <c r="AI552" s="183" t="str">
        <f>CONCATENATE(PAA[[#This Row],[Id Interno]],"-",PAA[[#This Row],[tipo de Contrato (TH talento humano - B/S bienes y/o servicios)]],"-",S552,"-",T552,"-",PAA[[#This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553" spans="2:35" ht="140" x14ac:dyDescent="0.35">
      <c r="B553" s="137">
        <v>20260538</v>
      </c>
      <c r="C553" s="117" t="s">
        <v>652</v>
      </c>
      <c r="D553" s="125" t="s">
        <v>105</v>
      </c>
      <c r="E553" s="125" t="s">
        <v>363</v>
      </c>
      <c r="F553" s="125" t="s">
        <v>144</v>
      </c>
      <c r="G553" s="126" t="s">
        <v>373</v>
      </c>
      <c r="H553" s="132">
        <v>11</v>
      </c>
      <c r="I553" s="178">
        <v>0</v>
      </c>
      <c r="J553" s="127">
        <v>56771957</v>
      </c>
      <c r="K553" s="128" t="s">
        <v>398</v>
      </c>
      <c r="L553" s="176" t="s">
        <v>155</v>
      </c>
      <c r="M553" s="174" t="s">
        <v>422</v>
      </c>
      <c r="N553" s="125" t="s">
        <v>197</v>
      </c>
      <c r="O553" s="144" t="s">
        <v>886</v>
      </c>
      <c r="P553" s="174" t="s">
        <v>348</v>
      </c>
      <c r="Q553" s="129" t="s">
        <v>725</v>
      </c>
      <c r="R553" s="174" t="s">
        <v>208</v>
      </c>
      <c r="S553" s="174" t="str">
        <f>MID(PAA[[#This Row],[Meta Proyecto de Inversión]],1,4)</f>
        <v>8126</v>
      </c>
      <c r="T553" s="174" t="str">
        <f>MID(PAA[[#This Row],[Meta Proyecto de Inversión]],6,2)</f>
        <v>9-</v>
      </c>
      <c r="U553" s="179" t="str">
        <f>IFERROR(VLOOKUP(N553,TD!$B$54:$F$58,2,0)," ")</f>
        <v>O230117</v>
      </c>
      <c r="V553" s="179" t="str">
        <f>IFERROR(VLOOKUP(N553,TD!$B$54:$F$58,3,0)," ")</f>
        <v>4599</v>
      </c>
      <c r="W553" s="179">
        <f>IFERROR(VLOOKUP(N553,TD!$B$54:$F$58,4,0)," ")</f>
        <v>20240207</v>
      </c>
      <c r="X553" s="174" t="s">
        <v>174</v>
      </c>
      <c r="Y553" s="167" t="str">
        <f>IFERROR(VLOOKUP(X553,TD!$J$55:$K$68,2,0)," ")</f>
        <v>Infraestructura física, mantenimiento y dotación (Sedes construidas, mantenidas reforzadas)</v>
      </c>
      <c r="Z553" s="180" t="str">
        <f>CONCATENATE(X553,"-",Y553)</f>
        <v>08-Infraestructura física, mantenimiento y dotación (Sedes construidas, mantenidas reforzadas)</v>
      </c>
      <c r="AA553" s="174" t="s">
        <v>227</v>
      </c>
      <c r="AB553" s="167" t="str">
        <f>IFERROR(VLOOKUP(AA553,TD!$N$55:$O$70,2,0)," ")</f>
        <v>Sedes mantenidas</v>
      </c>
      <c r="AC553" s="180" t="str">
        <f>CONCATENATE(AA553,"_",AB553)</f>
        <v>016_Sedes mantenidas</v>
      </c>
      <c r="AD553" s="180" t="str">
        <f>CONCATENATE(Z553," ",AC553)</f>
        <v>08-Infraestructura física, mantenimiento y dotación (Sedes construidas, mantenidas reforzadas) 016_Sedes mantenidas</v>
      </c>
      <c r="AE553" s="179" t="str">
        <f>CONCATENATE(U553,V553,W553,X553,AA553)</f>
        <v>O23011745992024020708016</v>
      </c>
      <c r="AF553" s="167" t="str">
        <f>IFERROR(VLOOKUP(AD553,TD!$J$70:$K$93,2,0)," ")</f>
        <v>PM/0131/0108/45990160207</v>
      </c>
      <c r="AG553" s="130" t="s">
        <v>385</v>
      </c>
      <c r="AH553" s="181" t="s">
        <v>193</v>
      </c>
      <c r="AI553" s="183" t="str">
        <f>CONCATENATE(PAA[[#This Row],[Id Interno]],"-",PAA[[#This Row],[tipo de Contrato (TH talento humano - B/S bienes y/o servicios)]],"-",S553,"-",T553,"-",PAA[[#This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54" spans="2:35" ht="70" x14ac:dyDescent="0.35">
      <c r="B554" s="137">
        <v>20260540</v>
      </c>
      <c r="C554" s="117" t="s">
        <v>745</v>
      </c>
      <c r="D554" s="125" t="s">
        <v>105</v>
      </c>
      <c r="E554" s="125" t="s">
        <v>363</v>
      </c>
      <c r="F554" s="125" t="s">
        <v>144</v>
      </c>
      <c r="G554" s="126" t="s">
        <v>374</v>
      </c>
      <c r="H554" s="132">
        <v>11</v>
      </c>
      <c r="I554" s="132">
        <v>0</v>
      </c>
      <c r="J554" s="127">
        <v>61600000</v>
      </c>
      <c r="K554" s="128" t="s">
        <v>398</v>
      </c>
      <c r="L554" s="176" t="s">
        <v>45</v>
      </c>
      <c r="M554" s="174" t="s">
        <v>401</v>
      </c>
      <c r="N554" s="125" t="s">
        <v>197</v>
      </c>
      <c r="O554" s="144" t="s">
        <v>886</v>
      </c>
      <c r="P554" s="174" t="s">
        <v>348</v>
      </c>
      <c r="Q554" s="129">
        <v>80111600</v>
      </c>
      <c r="R554" s="174" t="s">
        <v>208</v>
      </c>
      <c r="S554" s="174" t="str">
        <f>MID(PAA[[#This Row],[Meta Proyecto de Inversión]],1,4)</f>
        <v>8126</v>
      </c>
      <c r="T554" s="174" t="str">
        <f>MID(PAA[[#This Row],[Meta Proyecto de Inversión]],6,2)</f>
        <v>9-</v>
      </c>
      <c r="U554" s="179" t="str">
        <f>IFERROR(VLOOKUP(N554,TD!$B$54:$F$58,2,0)," ")</f>
        <v>O230117</v>
      </c>
      <c r="V554" s="179" t="str">
        <f>IFERROR(VLOOKUP(N554,TD!$B$54:$F$58,3,0)," ")</f>
        <v>4599</v>
      </c>
      <c r="W554" s="179">
        <f>IFERROR(VLOOKUP(N554,TD!$B$54:$F$58,4,0)," ")</f>
        <v>20240207</v>
      </c>
      <c r="X554" s="174" t="s">
        <v>174</v>
      </c>
      <c r="Y554" s="167" t="str">
        <f>IFERROR(VLOOKUP(X554,TD!$J$55:$K$68,2,0)," ")</f>
        <v>Infraestructura física, mantenimiento y dotación (Sedes construidas, mantenidas reforzadas)</v>
      </c>
      <c r="Z554" s="180" t="str">
        <f>CONCATENATE(X554,"-",Y554)</f>
        <v>08-Infraestructura física, mantenimiento y dotación (Sedes construidas, mantenidas reforzadas)</v>
      </c>
      <c r="AA554" s="174" t="s">
        <v>227</v>
      </c>
      <c r="AB554" s="167" t="str">
        <f>IFERROR(VLOOKUP(AA554,TD!$N$55:$O$70,2,0)," ")</f>
        <v>Sedes mantenidas</v>
      </c>
      <c r="AC554" s="180" t="str">
        <f>CONCATENATE(AA554,"_",AB554)</f>
        <v>016_Sedes mantenidas</v>
      </c>
      <c r="AD554" s="180" t="str">
        <f>CONCATENATE(Z554," ",AC554)</f>
        <v>08-Infraestructura física, mantenimiento y dotación (Sedes construidas, mantenidas reforzadas) 016_Sedes mantenidas</v>
      </c>
      <c r="AE554" s="179" t="str">
        <f>CONCATENATE(U554,V554,W554,X554,AA554)</f>
        <v>O23011745992024020708016</v>
      </c>
      <c r="AF554" s="167" t="str">
        <f>IFERROR(VLOOKUP(AD554,TD!$J$70:$K$93,2,0)," ")</f>
        <v>PM/0131/0108/45990160207</v>
      </c>
      <c r="AG554" s="130" t="s">
        <v>385</v>
      </c>
      <c r="AH554" s="181" t="s">
        <v>193</v>
      </c>
      <c r="AI554" s="183" t="str">
        <f>CONCATENATE(PAA[[#This Row],[Id Interno]],"-",PAA[[#This Row],[tipo de Contrato (TH talento humano - B/S bienes y/o servicios)]],"-",S554,"-",T554,"-",PAA[[#This Row],[Objeto de la contratación]])</f>
        <v>20260540-TH-8126-9--Prestación de servicios profesionales jurídicos en virtud de las funciones asignadas a la Dirección General de la UAECOB, para apoyar los procesos contractuales y actividades administrativas requeridas.</v>
      </c>
    </row>
    <row r="555" spans="2:35" ht="56" x14ac:dyDescent="0.35">
      <c r="B555" s="137">
        <v>20260541</v>
      </c>
      <c r="C555" s="117" t="s">
        <v>746</v>
      </c>
      <c r="D555" s="125" t="s">
        <v>105</v>
      </c>
      <c r="E555" s="125" t="s">
        <v>363</v>
      </c>
      <c r="F555" s="125" t="s">
        <v>144</v>
      </c>
      <c r="G555" s="126" t="s">
        <v>374</v>
      </c>
      <c r="H555" s="132">
        <v>11</v>
      </c>
      <c r="I555" s="132">
        <v>0</v>
      </c>
      <c r="J555" s="127">
        <v>88000000</v>
      </c>
      <c r="K555" s="128" t="s">
        <v>398</v>
      </c>
      <c r="L555" s="176" t="s">
        <v>45</v>
      </c>
      <c r="M555" s="174" t="s">
        <v>401</v>
      </c>
      <c r="N555" s="125" t="s">
        <v>197</v>
      </c>
      <c r="O555" s="144" t="s">
        <v>886</v>
      </c>
      <c r="P555" s="174" t="s">
        <v>348</v>
      </c>
      <c r="Q555" s="129">
        <v>80111600</v>
      </c>
      <c r="R555" s="174" t="s">
        <v>208</v>
      </c>
      <c r="S555" s="174" t="str">
        <f>MID(PAA[[#This Row],[Meta Proyecto de Inversión]],1,4)</f>
        <v>8126</v>
      </c>
      <c r="T555" s="174" t="str">
        <f>MID(PAA[[#This Row],[Meta Proyecto de Inversión]],6,2)</f>
        <v>9-</v>
      </c>
      <c r="U555" s="179" t="str">
        <f>IFERROR(VLOOKUP(N555,TD!$B$54:$F$58,2,0)," ")</f>
        <v>O230117</v>
      </c>
      <c r="V555" s="179" t="str">
        <f>IFERROR(VLOOKUP(N555,TD!$B$54:$F$58,3,0)," ")</f>
        <v>4599</v>
      </c>
      <c r="W555" s="179">
        <f>IFERROR(VLOOKUP(N555,TD!$B$54:$F$58,4,0)," ")</f>
        <v>20240207</v>
      </c>
      <c r="X555" s="174" t="s">
        <v>174</v>
      </c>
      <c r="Y555" s="167" t="str">
        <f>IFERROR(VLOOKUP(X555,TD!$J$55:$K$68,2,0)," ")</f>
        <v>Infraestructura física, mantenimiento y dotación (Sedes construidas, mantenidas reforzadas)</v>
      </c>
      <c r="Z555" s="180" t="str">
        <f>CONCATENATE(X555,"-",Y555)</f>
        <v>08-Infraestructura física, mantenimiento y dotación (Sedes construidas, mantenidas reforzadas)</v>
      </c>
      <c r="AA555" s="174" t="s">
        <v>227</v>
      </c>
      <c r="AB555" s="167" t="str">
        <f>IFERROR(VLOOKUP(AA555,TD!$N$55:$O$70,2,0)," ")</f>
        <v>Sedes mantenidas</v>
      </c>
      <c r="AC555" s="180" t="str">
        <f>CONCATENATE(AA555,"_",AB555)</f>
        <v>016_Sedes mantenidas</v>
      </c>
      <c r="AD555" s="180" t="str">
        <f>CONCATENATE(Z555," ",AC555)</f>
        <v>08-Infraestructura física, mantenimiento y dotación (Sedes construidas, mantenidas reforzadas) 016_Sedes mantenidas</v>
      </c>
      <c r="AE555" s="179" t="str">
        <f>CONCATENATE(U555,V555,W555,X555,AA555)</f>
        <v>O23011745992024020708016</v>
      </c>
      <c r="AF555" s="167" t="str">
        <f>IFERROR(VLOOKUP(AD555,TD!$J$70:$K$93,2,0)," ")</f>
        <v>PM/0131/0108/45990160207</v>
      </c>
      <c r="AG555" s="130" t="s">
        <v>385</v>
      </c>
      <c r="AH555" s="181" t="s">
        <v>193</v>
      </c>
      <c r="AI555" s="183" t="str">
        <f>CONCATENATE(PAA[[#This Row],[Id Interno]],"-",PAA[[#This Row],[tipo de Contrato (TH talento humano - B/S bienes y/o servicios)]],"-",S555,"-",T555,"-",PAA[[#This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56" spans="2:35" ht="56" x14ac:dyDescent="0.35">
      <c r="B556" s="137">
        <v>20260542</v>
      </c>
      <c r="C556" s="117" t="s">
        <v>747</v>
      </c>
      <c r="D556" s="125" t="s">
        <v>105</v>
      </c>
      <c r="E556" s="125" t="s">
        <v>363</v>
      </c>
      <c r="F556" s="125" t="s">
        <v>144</v>
      </c>
      <c r="G556" s="126" t="s">
        <v>379</v>
      </c>
      <c r="H556" s="132">
        <v>5</v>
      </c>
      <c r="I556" s="132">
        <v>0</v>
      </c>
      <c r="J556" s="130">
        <v>50500000</v>
      </c>
      <c r="K556" s="128" t="s">
        <v>398</v>
      </c>
      <c r="L556" s="176" t="s">
        <v>45</v>
      </c>
      <c r="M556" s="174" t="s">
        <v>401</v>
      </c>
      <c r="N556" s="125" t="s">
        <v>197</v>
      </c>
      <c r="O556" s="144" t="s">
        <v>886</v>
      </c>
      <c r="P556" s="174" t="s">
        <v>348</v>
      </c>
      <c r="Q556" s="129">
        <v>80111600</v>
      </c>
      <c r="R556" s="174" t="s">
        <v>208</v>
      </c>
      <c r="S556" s="174" t="str">
        <f>MID(PAA[[#This Row],[Meta Proyecto de Inversión]],1,4)</f>
        <v>8126</v>
      </c>
      <c r="T556" s="174" t="str">
        <f>MID(PAA[[#This Row],[Meta Proyecto de Inversión]],6,2)</f>
        <v>9-</v>
      </c>
      <c r="U556" s="179" t="str">
        <f>IFERROR(VLOOKUP(N556,TD!$B$54:$F$58,2,0)," ")</f>
        <v>O230117</v>
      </c>
      <c r="V556" s="179" t="str">
        <f>IFERROR(VLOOKUP(N556,TD!$B$54:$F$58,3,0)," ")</f>
        <v>4599</v>
      </c>
      <c r="W556" s="179">
        <f>IFERROR(VLOOKUP(N556,TD!$B$54:$F$58,4,0)," ")</f>
        <v>20240207</v>
      </c>
      <c r="X556" s="174" t="s">
        <v>174</v>
      </c>
      <c r="Y556" s="167" t="str">
        <f>IFERROR(VLOOKUP(X556,TD!$J$55:$K$68,2,0)," ")</f>
        <v>Infraestructura física, mantenimiento y dotación (Sedes construidas, mantenidas reforzadas)</v>
      </c>
      <c r="Z556" s="180" t="str">
        <f>CONCATENATE(X556,"-",Y556)</f>
        <v>08-Infraestructura física, mantenimiento y dotación (Sedes construidas, mantenidas reforzadas)</v>
      </c>
      <c r="AA556" s="174" t="s">
        <v>227</v>
      </c>
      <c r="AB556" s="167" t="str">
        <f>IFERROR(VLOOKUP(AA556,TD!$N$55:$O$70,2,0)," ")</f>
        <v>Sedes mantenidas</v>
      </c>
      <c r="AC556" s="180" t="str">
        <f>CONCATENATE(AA556,"_",AB556)</f>
        <v>016_Sedes mantenidas</v>
      </c>
      <c r="AD556" s="180" t="str">
        <f>CONCATENATE(Z556," ",AC556)</f>
        <v>08-Infraestructura física, mantenimiento y dotación (Sedes construidas, mantenidas reforzadas) 016_Sedes mantenidas</v>
      </c>
      <c r="AE556" s="179" t="str">
        <f>CONCATENATE(U556,V556,W556,X556,AA556)</f>
        <v>O23011745992024020708016</v>
      </c>
      <c r="AF556" s="167" t="str">
        <f>IFERROR(VLOOKUP(AD556,TD!$J$70:$K$93,2,0)," ")</f>
        <v>PM/0131/0108/45990160207</v>
      </c>
      <c r="AG556" s="130" t="s">
        <v>385</v>
      </c>
      <c r="AH556" s="181" t="s">
        <v>193</v>
      </c>
      <c r="AI556" s="183" t="str">
        <f>CONCATENATE(PAA[[#This Row],[Id Interno]],"-",PAA[[#This Row],[tipo de Contrato (TH talento humano - B/S bienes y/o servicios)]],"-",S556,"-",T556,"-",PAA[[#This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57" spans="2:35" ht="56" x14ac:dyDescent="0.35">
      <c r="B557" s="137">
        <v>20260543</v>
      </c>
      <c r="C557" s="117" t="s">
        <v>748</v>
      </c>
      <c r="D557" s="125" t="s">
        <v>105</v>
      </c>
      <c r="E557" s="125" t="s">
        <v>363</v>
      </c>
      <c r="F557" s="125" t="s">
        <v>144</v>
      </c>
      <c r="G557" s="126" t="s">
        <v>374</v>
      </c>
      <c r="H557" s="132">
        <v>11</v>
      </c>
      <c r="I557" s="132">
        <v>0</v>
      </c>
      <c r="J557" s="127">
        <v>111100000</v>
      </c>
      <c r="K557" s="128" t="s">
        <v>398</v>
      </c>
      <c r="L557" s="176" t="s">
        <v>45</v>
      </c>
      <c r="M557" s="174" t="s">
        <v>401</v>
      </c>
      <c r="N557" s="125" t="s">
        <v>197</v>
      </c>
      <c r="O557" s="144" t="s">
        <v>886</v>
      </c>
      <c r="P557" s="174" t="s">
        <v>348</v>
      </c>
      <c r="Q557" s="129">
        <v>80111600</v>
      </c>
      <c r="R557" s="174" t="s">
        <v>208</v>
      </c>
      <c r="S557" s="174" t="str">
        <f>MID(PAA[[#This Row],[Meta Proyecto de Inversión]],1,4)</f>
        <v>8126</v>
      </c>
      <c r="T557" s="174" t="str">
        <f>MID(PAA[[#This Row],[Meta Proyecto de Inversión]],6,2)</f>
        <v>9-</v>
      </c>
      <c r="U557" s="179" t="str">
        <f>IFERROR(VLOOKUP(N557,TD!$B$54:$F$58,2,0)," ")</f>
        <v>O230117</v>
      </c>
      <c r="V557" s="179" t="str">
        <f>IFERROR(VLOOKUP(N557,TD!$B$54:$F$58,3,0)," ")</f>
        <v>4599</v>
      </c>
      <c r="W557" s="179">
        <f>IFERROR(VLOOKUP(N557,TD!$B$54:$F$58,4,0)," ")</f>
        <v>20240207</v>
      </c>
      <c r="X557" s="174" t="s">
        <v>174</v>
      </c>
      <c r="Y557" s="167" t="str">
        <f>IFERROR(VLOOKUP(X557,TD!$J$55:$K$68,2,0)," ")</f>
        <v>Infraestructura física, mantenimiento y dotación (Sedes construidas, mantenidas reforzadas)</v>
      </c>
      <c r="Z557" s="180" t="str">
        <f>CONCATENATE(X557,"-",Y557)</f>
        <v>08-Infraestructura física, mantenimiento y dotación (Sedes construidas, mantenidas reforzadas)</v>
      </c>
      <c r="AA557" s="174" t="s">
        <v>227</v>
      </c>
      <c r="AB557" s="167" t="str">
        <f>IFERROR(VLOOKUP(AA557,TD!$N$55:$O$70,2,0)," ")</f>
        <v>Sedes mantenidas</v>
      </c>
      <c r="AC557" s="180" t="str">
        <f>CONCATENATE(AA557,"_",AB557)</f>
        <v>016_Sedes mantenidas</v>
      </c>
      <c r="AD557" s="180" t="str">
        <f>CONCATENATE(Z557," ",AC557)</f>
        <v>08-Infraestructura física, mantenimiento y dotación (Sedes construidas, mantenidas reforzadas) 016_Sedes mantenidas</v>
      </c>
      <c r="AE557" s="179" t="str">
        <f>CONCATENATE(U557,V557,W557,X557,AA557)</f>
        <v>O23011745992024020708016</v>
      </c>
      <c r="AF557" s="167" t="str">
        <f>IFERROR(VLOOKUP(AD557,TD!$J$70:$K$93,2,0)," ")</f>
        <v>PM/0131/0108/45990160207</v>
      </c>
      <c r="AG557" s="130" t="s">
        <v>385</v>
      </c>
      <c r="AH557" s="181" t="s">
        <v>193</v>
      </c>
      <c r="AI557" s="183" t="str">
        <f>CONCATENATE(PAA[[#This Row],[Id Interno]],"-",PAA[[#This Row],[tipo de Contrato (TH talento humano - B/S bienes y/o servicios)]],"-",S557,"-",T557,"-",PAA[[#This Row],[Objeto de la contratación]])</f>
        <v>20260543-TH-8126-9--Prestar servicios profesionales jurídicos en el desarrollo de las actividades y de los diferentes procesos de la Dirección General de la UAE Cuerpo Oficial de Bomberos de Bogotá</v>
      </c>
    </row>
    <row r="558" spans="2:35" ht="42" x14ac:dyDescent="0.35">
      <c r="B558" s="137">
        <v>20260544</v>
      </c>
      <c r="C558" s="117" t="s">
        <v>749</v>
      </c>
      <c r="D558" s="125" t="s">
        <v>105</v>
      </c>
      <c r="E558" s="125" t="s">
        <v>363</v>
      </c>
      <c r="F558" s="125" t="s">
        <v>144</v>
      </c>
      <c r="G558" s="126" t="s">
        <v>374</v>
      </c>
      <c r="H558" s="132">
        <v>11</v>
      </c>
      <c r="I558" s="132">
        <v>0</v>
      </c>
      <c r="J558" s="127">
        <v>61600000</v>
      </c>
      <c r="K558" s="128" t="s">
        <v>398</v>
      </c>
      <c r="L558" s="176" t="s">
        <v>45</v>
      </c>
      <c r="M558" s="174" t="s">
        <v>401</v>
      </c>
      <c r="N558" s="125" t="s">
        <v>197</v>
      </c>
      <c r="O558" s="156" t="s">
        <v>886</v>
      </c>
      <c r="P558" s="174" t="s">
        <v>348</v>
      </c>
      <c r="Q558" s="129">
        <v>80111600</v>
      </c>
      <c r="R558" s="174" t="s">
        <v>208</v>
      </c>
      <c r="S558" s="174" t="str">
        <f>MID(PAA[[#This Row],[Meta Proyecto de Inversión]],1,4)</f>
        <v>8126</v>
      </c>
      <c r="T558" s="166" t="str">
        <f>MID(PAA[[#This Row],[Meta Proyecto de Inversión]],6,2)</f>
        <v>9-</v>
      </c>
      <c r="U558" s="179" t="str">
        <f>IFERROR(VLOOKUP(N558,TD!$B$54:$F$58,2,0)," ")</f>
        <v>O230117</v>
      </c>
      <c r="V558" s="179" t="str">
        <f>IFERROR(VLOOKUP(N558,TD!$B$54:$F$58,3,0)," ")</f>
        <v>4599</v>
      </c>
      <c r="W558" s="179">
        <f>IFERROR(VLOOKUP(N558,TD!$B$54:$F$58,4,0)," ")</f>
        <v>20240207</v>
      </c>
      <c r="X558" s="174" t="s">
        <v>174</v>
      </c>
      <c r="Y558" s="167" t="str">
        <f>IFERROR(VLOOKUP(X558,TD!$J$55:$K$68,2,0)," ")</f>
        <v>Infraestructura física, mantenimiento y dotación (Sedes construidas, mantenidas reforzadas)</v>
      </c>
      <c r="Z558" s="180" t="str">
        <f>CONCATENATE(X558,"-",Y558)</f>
        <v>08-Infraestructura física, mantenimiento y dotación (Sedes construidas, mantenidas reforzadas)</v>
      </c>
      <c r="AA558" s="174" t="s">
        <v>227</v>
      </c>
      <c r="AB558" s="167" t="str">
        <f>IFERROR(VLOOKUP(AA558,TD!$N$55:$O$70,2,0)," ")</f>
        <v>Sedes mantenidas</v>
      </c>
      <c r="AC558" s="180" t="str">
        <f>CONCATENATE(AA558,"_",AB558)</f>
        <v>016_Sedes mantenidas</v>
      </c>
      <c r="AD558" s="180" t="str">
        <f>CONCATENATE(Z558," ",AC558)</f>
        <v>08-Infraestructura física, mantenimiento y dotación (Sedes construidas, mantenidas reforzadas) 016_Sedes mantenidas</v>
      </c>
      <c r="AE558" s="179" t="str">
        <f>CONCATENATE(U558,V558,W558,X558,AA558)</f>
        <v>O23011745992024020708016</v>
      </c>
      <c r="AF558" s="167" t="str">
        <f>IFERROR(VLOOKUP(AD558,TD!$J$70:$K$93,2,0)," ")</f>
        <v>PM/0131/0108/45990160207</v>
      </c>
      <c r="AG558" s="130" t="s">
        <v>385</v>
      </c>
      <c r="AH558" s="181" t="s">
        <v>193</v>
      </c>
      <c r="AI558" s="183" t="str">
        <f>CONCATENATE(PAA[[#This Row],[Id Interno]],"-",PAA[[#This Row],[tipo de Contrato (TH talento humano - B/S bienes y/o servicios)]],"-",S558,"-",T558,"-",PAA[[#This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59" spans="2:35" ht="66" customHeight="1" x14ac:dyDescent="0.35">
      <c r="B559" s="137">
        <v>20260545</v>
      </c>
      <c r="C559" s="117" t="s">
        <v>750</v>
      </c>
      <c r="D559" s="125" t="s">
        <v>105</v>
      </c>
      <c r="E559" s="125" t="s">
        <v>363</v>
      </c>
      <c r="F559" s="125" t="s">
        <v>144</v>
      </c>
      <c r="G559" s="126" t="s">
        <v>374</v>
      </c>
      <c r="H559" s="132">
        <v>11</v>
      </c>
      <c r="I559" s="132">
        <v>0</v>
      </c>
      <c r="J559" s="127">
        <v>49500000</v>
      </c>
      <c r="K559" s="128" t="s">
        <v>398</v>
      </c>
      <c r="L559" s="176" t="s">
        <v>45</v>
      </c>
      <c r="M559" s="174" t="s">
        <v>401</v>
      </c>
      <c r="N559" s="125" t="s">
        <v>197</v>
      </c>
      <c r="O559" s="156" t="s">
        <v>886</v>
      </c>
      <c r="P559" s="174" t="s">
        <v>348</v>
      </c>
      <c r="Q559" s="129">
        <v>80111600</v>
      </c>
      <c r="R559" s="174" t="s">
        <v>208</v>
      </c>
      <c r="S559" s="174" t="str">
        <f>MID(PAA[[#This Row],[Meta Proyecto de Inversión]],1,4)</f>
        <v>8126</v>
      </c>
      <c r="T559" s="174" t="str">
        <f>MID(PAA[[#This Row],[Meta Proyecto de Inversión]],6,2)</f>
        <v>9-</v>
      </c>
      <c r="U559" s="179" t="str">
        <f>IFERROR(VLOOKUP(N559,TD!$B$54:$F$58,2,0)," ")</f>
        <v>O230117</v>
      </c>
      <c r="V559" s="179" t="str">
        <f>IFERROR(VLOOKUP(N559,TD!$B$54:$F$58,3,0)," ")</f>
        <v>4599</v>
      </c>
      <c r="W559" s="179">
        <f>IFERROR(VLOOKUP(N559,TD!$B$54:$F$58,4,0)," ")</f>
        <v>20240207</v>
      </c>
      <c r="X559" s="174" t="s">
        <v>174</v>
      </c>
      <c r="Y559" s="167" t="str">
        <f>IFERROR(VLOOKUP(X559,TD!$J$55:$K$68,2,0)," ")</f>
        <v>Infraestructura física, mantenimiento y dotación (Sedes construidas, mantenidas reforzadas)</v>
      </c>
      <c r="Z559" s="180" t="str">
        <f>CONCATENATE(X559,"-",Y559)</f>
        <v>08-Infraestructura física, mantenimiento y dotación (Sedes construidas, mantenidas reforzadas)</v>
      </c>
      <c r="AA559" s="174" t="s">
        <v>227</v>
      </c>
      <c r="AB559" s="167" t="str">
        <f>IFERROR(VLOOKUP(AA559,TD!$N$55:$O$70,2,0)," ")</f>
        <v>Sedes mantenidas</v>
      </c>
      <c r="AC559" s="180" t="str">
        <f>CONCATENATE(AA559,"_",AB559)</f>
        <v>016_Sedes mantenidas</v>
      </c>
      <c r="AD559" s="180" t="str">
        <f>CONCATENATE(Z559," ",AC559)</f>
        <v>08-Infraestructura física, mantenimiento y dotación (Sedes construidas, mantenidas reforzadas) 016_Sedes mantenidas</v>
      </c>
      <c r="AE559" s="179" t="str">
        <f>CONCATENATE(U559,V559,W559,X559,AA559)</f>
        <v>O23011745992024020708016</v>
      </c>
      <c r="AF559" s="167" t="str">
        <f>IFERROR(VLOOKUP(AD559,TD!$J$70:$K$93,2,0)," ")</f>
        <v>PM/0131/0108/45990160207</v>
      </c>
      <c r="AG559" s="130" t="s">
        <v>385</v>
      </c>
      <c r="AH559" s="181" t="s">
        <v>193</v>
      </c>
      <c r="AI559" s="183" t="str">
        <f>CONCATENATE(PAA[[#This Row],[Id Interno]],"-",PAA[[#This Row],[tipo de Contrato (TH talento humano - B/S bienes y/o servicios)]],"-",S559,"-",T559,"-",PAA[[#This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60" spans="2:35" ht="56" x14ac:dyDescent="0.35">
      <c r="B560" s="137">
        <v>20260546</v>
      </c>
      <c r="C560" s="117" t="s">
        <v>751</v>
      </c>
      <c r="D560" s="125" t="s">
        <v>105</v>
      </c>
      <c r="E560" s="125" t="s">
        <v>363</v>
      </c>
      <c r="F560" s="125" t="s">
        <v>145</v>
      </c>
      <c r="G560" s="126" t="s">
        <v>374</v>
      </c>
      <c r="H560" s="132">
        <v>11</v>
      </c>
      <c r="I560" s="132">
        <v>0</v>
      </c>
      <c r="J560" s="130">
        <v>49398976</v>
      </c>
      <c r="K560" s="128" t="s">
        <v>398</v>
      </c>
      <c r="L560" s="176" t="s">
        <v>45</v>
      </c>
      <c r="M560" s="174" t="s">
        <v>401</v>
      </c>
      <c r="N560" s="125" t="s">
        <v>197</v>
      </c>
      <c r="O560" s="156" t="s">
        <v>886</v>
      </c>
      <c r="P560" s="174" t="s">
        <v>348</v>
      </c>
      <c r="Q560" s="129">
        <v>80111600</v>
      </c>
      <c r="R560" s="174" t="s">
        <v>208</v>
      </c>
      <c r="S560" s="174" t="str">
        <f>MID(PAA[[#This Row],[Meta Proyecto de Inversión]],1,4)</f>
        <v>8126</v>
      </c>
      <c r="T560" s="174" t="str">
        <f>MID(PAA[[#This Row],[Meta Proyecto de Inversión]],6,2)</f>
        <v>9-</v>
      </c>
      <c r="U560" s="179" t="str">
        <f>IFERROR(VLOOKUP(N560,TD!$B$54:$F$58,2,0)," ")</f>
        <v>O230117</v>
      </c>
      <c r="V560" s="179" t="str">
        <f>IFERROR(VLOOKUP(N560,TD!$B$54:$F$58,3,0)," ")</f>
        <v>4599</v>
      </c>
      <c r="W560" s="179">
        <f>IFERROR(VLOOKUP(N560,TD!$B$54:$F$58,4,0)," ")</f>
        <v>20240207</v>
      </c>
      <c r="X560" s="174" t="s">
        <v>174</v>
      </c>
      <c r="Y560" s="167" t="str">
        <f>IFERROR(VLOOKUP(X560,TD!$J$55:$K$68,2,0)," ")</f>
        <v>Infraestructura física, mantenimiento y dotación (Sedes construidas, mantenidas reforzadas)</v>
      </c>
      <c r="Z560" s="180" t="str">
        <f>CONCATENATE(X560,"-",Y560)</f>
        <v>08-Infraestructura física, mantenimiento y dotación (Sedes construidas, mantenidas reforzadas)</v>
      </c>
      <c r="AA560" s="174" t="s">
        <v>227</v>
      </c>
      <c r="AB560" s="167" t="str">
        <f>IFERROR(VLOOKUP(AA560,TD!$N$55:$O$70,2,0)," ")</f>
        <v>Sedes mantenidas</v>
      </c>
      <c r="AC560" s="180" t="str">
        <f>CONCATENATE(AA560,"_",AB560)</f>
        <v>016_Sedes mantenidas</v>
      </c>
      <c r="AD560" s="180" t="str">
        <f>CONCATENATE(Z560," ",AC560)</f>
        <v>08-Infraestructura física, mantenimiento y dotación (Sedes construidas, mantenidas reforzadas) 016_Sedes mantenidas</v>
      </c>
      <c r="AE560" s="179" t="str">
        <f>CONCATENATE(U560,V560,W560,X560,AA560)</f>
        <v>O23011745992024020708016</v>
      </c>
      <c r="AF560" s="179" t="str">
        <f>IFERROR(VLOOKUP(AD560,TD!$J$70:$K$93,2,0)," ")</f>
        <v>PM/0131/0108/45990160207</v>
      </c>
      <c r="AG560" s="130" t="s">
        <v>385</v>
      </c>
      <c r="AH560" s="175" t="s">
        <v>193</v>
      </c>
      <c r="AI560" s="183" t="str">
        <f>CONCATENATE(PAA[[#This Row],[Id Interno]],"-",PAA[[#This Row],[tipo de Contrato (TH talento humano - B/S bienes y/o servicios)]],"-",S560,"-",T560,"-",PAA[[#This Row],[Objeto de la contratación]])</f>
        <v>20260546-TH-8126-9--Prestar servicios de apoyo a la gestión en la UAECOB, en asuntos administrativos y asistenciales requeridos, especificamente en el seguimiento de la información.</v>
      </c>
    </row>
    <row r="561" spans="2:35" ht="42" x14ac:dyDescent="0.35">
      <c r="B561" s="143">
        <v>20260547</v>
      </c>
      <c r="C561" s="97" t="s">
        <v>752</v>
      </c>
      <c r="D561" s="23" t="s">
        <v>105</v>
      </c>
      <c r="E561" s="23" t="s">
        <v>363</v>
      </c>
      <c r="F561" s="23" t="s">
        <v>144</v>
      </c>
      <c r="G561" s="124" t="s">
        <v>374</v>
      </c>
      <c r="H561" s="131">
        <v>11</v>
      </c>
      <c r="I561" s="131">
        <v>0</v>
      </c>
      <c r="J561" s="122">
        <v>90750000</v>
      </c>
      <c r="K561" s="88" t="s">
        <v>398</v>
      </c>
      <c r="L561" s="163" t="s">
        <v>45</v>
      </c>
      <c r="M561" s="166" t="s">
        <v>401</v>
      </c>
      <c r="N561" s="23" t="s">
        <v>197</v>
      </c>
      <c r="O561" s="144" t="s">
        <v>886</v>
      </c>
      <c r="P561" s="166" t="s">
        <v>348</v>
      </c>
      <c r="Q561" s="53">
        <v>80111600</v>
      </c>
      <c r="R561" s="166" t="s">
        <v>208</v>
      </c>
      <c r="S561" s="166" t="str">
        <f>MID(PAA[[#This Row],[Meta Proyecto de Inversión]],1,4)</f>
        <v>8126</v>
      </c>
      <c r="T561" s="166" t="str">
        <f>MID(PAA[[#This Row],[Meta Proyecto de Inversión]],6,2)</f>
        <v>9-</v>
      </c>
      <c r="U561" s="167" t="str">
        <f>IFERROR(VLOOKUP(N561,TD!$B$54:$F$58,2,0)," ")</f>
        <v>O230117</v>
      </c>
      <c r="V561" s="167" t="str">
        <f>IFERROR(VLOOKUP(N561,TD!$B$54:$F$58,3,0)," ")</f>
        <v>4599</v>
      </c>
      <c r="W561" s="167">
        <f>IFERROR(VLOOKUP(N561,TD!$B$54:$F$58,4,0)," ")</f>
        <v>20240207</v>
      </c>
      <c r="X561" s="174" t="s">
        <v>174</v>
      </c>
      <c r="Y561" s="167" t="str">
        <f>IFERROR(VLOOKUP(X561,TD!$J$55:$K$68,2,0)," ")</f>
        <v>Infraestructura física, mantenimiento y dotación (Sedes construidas, mantenidas reforzadas)</v>
      </c>
      <c r="Z561" s="180" t="str">
        <f>CONCATENATE(X561,"-",Y561)</f>
        <v>08-Infraestructura física, mantenimiento y dotación (Sedes construidas, mantenidas reforzadas)</v>
      </c>
      <c r="AA561" s="174" t="s">
        <v>227</v>
      </c>
      <c r="AB561" s="167" t="str">
        <f>IFERROR(VLOOKUP(AA561,TD!$N$55:$O$70,2,0)," ")</f>
        <v>Sedes mantenidas</v>
      </c>
      <c r="AC561" s="168" t="str">
        <f>CONCATENATE(AA561,"_",AB561)</f>
        <v>016_Sedes mantenidas</v>
      </c>
      <c r="AD561" s="168" t="str">
        <f>CONCATENATE(Z561," ",AC561)</f>
        <v>08-Infraestructura física, mantenimiento y dotación (Sedes construidas, mantenidas reforzadas) 016_Sedes mantenidas</v>
      </c>
      <c r="AE561" s="167" t="str">
        <f>CONCATENATE(U561,V561,W561,X561,AA561)</f>
        <v>O23011745992024020708016</v>
      </c>
      <c r="AF561" s="167" t="str">
        <f>IFERROR(VLOOKUP(AD561,TD!$J$70:$K$93,2,0)," ")</f>
        <v>PM/0131/0108/45990160207</v>
      </c>
      <c r="AG561" s="130" t="s">
        <v>385</v>
      </c>
      <c r="AH561" s="175" t="s">
        <v>193</v>
      </c>
      <c r="AI561" s="183" t="str">
        <f>CONCATENATE(PAA[[#This Row],[Id Interno]],"-",PAA[[#This Row],[tipo de Contrato (TH talento humano - B/S bienes y/o servicios)]],"-",S561,"-",T561,"-",PAA[[#This Row],[Objeto de la contratación]])</f>
        <v>20260547-TH-8126-9--Prestar servicios profesionales en el desarrollo de los diferentes procesos que tiene a su cargo la Dirección General de la UAE Cuerpo Oficial de Bomberos de Bogotá.</v>
      </c>
    </row>
    <row r="562" spans="2:35" ht="42" x14ac:dyDescent="0.35">
      <c r="B562" s="143">
        <v>20260548</v>
      </c>
      <c r="C562" s="97" t="s">
        <v>753</v>
      </c>
      <c r="D562" s="23" t="s">
        <v>105</v>
      </c>
      <c r="E562" s="23" t="s">
        <v>363</v>
      </c>
      <c r="F562" s="23" t="s">
        <v>144</v>
      </c>
      <c r="G562" s="124" t="s">
        <v>374</v>
      </c>
      <c r="H562" s="131">
        <v>11</v>
      </c>
      <c r="I562" s="131">
        <v>0</v>
      </c>
      <c r="J562" s="114">
        <v>41288698</v>
      </c>
      <c r="K562" s="88" t="s">
        <v>398</v>
      </c>
      <c r="L562" s="163" t="s">
        <v>45</v>
      </c>
      <c r="M562" s="174" t="s">
        <v>401</v>
      </c>
      <c r="N562" s="23" t="s">
        <v>197</v>
      </c>
      <c r="O562" s="144" t="s">
        <v>886</v>
      </c>
      <c r="P562" s="166" t="s">
        <v>348</v>
      </c>
      <c r="Q562" s="53">
        <v>80111600</v>
      </c>
      <c r="R562" s="166" t="s">
        <v>208</v>
      </c>
      <c r="S562" s="166" t="str">
        <f>MID(PAA[[#This Row],[Meta Proyecto de Inversión]],1,4)</f>
        <v>8126</v>
      </c>
      <c r="T562" s="166" t="str">
        <f>MID(PAA[[#This Row],[Meta Proyecto de Inversión]],6,2)</f>
        <v>9-</v>
      </c>
      <c r="U562" s="167" t="str">
        <f>IFERROR(VLOOKUP(N562,TD!$B$54:$F$58,2,0)," ")</f>
        <v>O230117</v>
      </c>
      <c r="V562" s="167" t="str">
        <f>IFERROR(VLOOKUP(N562,TD!$B$54:$F$58,3,0)," ")</f>
        <v>4599</v>
      </c>
      <c r="W562" s="167">
        <f>IFERROR(VLOOKUP(N562,TD!$B$54:$F$58,4,0)," ")</f>
        <v>20240207</v>
      </c>
      <c r="X562" s="174" t="s">
        <v>174</v>
      </c>
      <c r="Y562" s="167" t="str">
        <f>IFERROR(VLOOKUP(X562,TD!$J$55:$K$68,2,0)," ")</f>
        <v>Infraestructura física, mantenimiento y dotación (Sedes construidas, mantenidas reforzadas)</v>
      </c>
      <c r="Z562" s="180" t="str">
        <f>CONCATENATE(X562,"-",Y562)</f>
        <v>08-Infraestructura física, mantenimiento y dotación (Sedes construidas, mantenidas reforzadas)</v>
      </c>
      <c r="AA562" s="174" t="s">
        <v>227</v>
      </c>
      <c r="AB562" s="167" t="str">
        <f>IFERROR(VLOOKUP(AA562,TD!$N$55:$O$70,2,0)," ")</f>
        <v>Sedes mantenidas</v>
      </c>
      <c r="AC562" s="168" t="str">
        <f>CONCATENATE(AA562,"_",AB562)</f>
        <v>016_Sedes mantenidas</v>
      </c>
      <c r="AD562" s="168" t="str">
        <f>CONCATENATE(Z562," ",AC562)</f>
        <v>08-Infraestructura física, mantenimiento y dotación (Sedes construidas, mantenidas reforzadas) 016_Sedes mantenidas</v>
      </c>
      <c r="AE562" s="167" t="str">
        <f>CONCATENATE(U562,V562,W562,X562,AA562)</f>
        <v>O23011745992024020708016</v>
      </c>
      <c r="AF562" s="167" t="str">
        <f>IFERROR(VLOOKUP(AD562,TD!$J$70:$K$93,2,0)," ")</f>
        <v>PM/0131/0108/45990160207</v>
      </c>
      <c r="AG562" s="130" t="s">
        <v>385</v>
      </c>
      <c r="AH562" s="175" t="s">
        <v>193</v>
      </c>
      <c r="AI562" s="183" t="str">
        <f>CONCATENATE(PAA[[#This Row],[Id Interno]],"-",PAA[[#This Row],[tipo de Contrato (TH talento humano - B/S bienes y/o servicios)]],"-",S562,"-",T562,"-",PAA[[#This Row],[Objeto de la contratación]])</f>
        <v>20260548-TH-8126-9--Prestar servicios como conductor a la UAECOB, para facilitar el transporte de recursos humanos y demás que le sean indicados en la Dirección General en concordancia al marco de sus funciones</v>
      </c>
    </row>
    <row r="563" spans="2:35" ht="56" x14ac:dyDescent="0.35">
      <c r="B563" s="143">
        <v>20260549</v>
      </c>
      <c r="C563" s="97" t="s">
        <v>754</v>
      </c>
      <c r="D563" s="23" t="s">
        <v>105</v>
      </c>
      <c r="E563" s="23" t="s">
        <v>363</v>
      </c>
      <c r="F563" s="23" t="s">
        <v>144</v>
      </c>
      <c r="G563" s="124" t="s">
        <v>379</v>
      </c>
      <c r="H563" s="131">
        <v>4</v>
      </c>
      <c r="I563" s="131">
        <v>0</v>
      </c>
      <c r="J563" s="114">
        <v>36800000</v>
      </c>
      <c r="K563" s="88" t="s">
        <v>398</v>
      </c>
      <c r="L563" s="163" t="s">
        <v>45</v>
      </c>
      <c r="M563" s="166" t="s">
        <v>401</v>
      </c>
      <c r="N563" s="23" t="s">
        <v>197</v>
      </c>
      <c r="O563" s="144" t="s">
        <v>886</v>
      </c>
      <c r="P563" s="166" t="s">
        <v>348</v>
      </c>
      <c r="Q563" s="53">
        <v>80111600</v>
      </c>
      <c r="R563" s="166" t="s">
        <v>208</v>
      </c>
      <c r="S563" s="166" t="str">
        <f>MID(PAA[[#This Row],[Meta Proyecto de Inversión]],1,4)</f>
        <v>8126</v>
      </c>
      <c r="T563" s="166" t="str">
        <f>MID(PAA[[#This Row],[Meta Proyecto de Inversión]],6,2)</f>
        <v>9-</v>
      </c>
      <c r="U563" s="167" t="str">
        <f>IFERROR(VLOOKUP(N563,TD!$B$54:$F$58,2,0)," ")</f>
        <v>O230117</v>
      </c>
      <c r="V563" s="167" t="str">
        <f>IFERROR(VLOOKUP(N563,TD!$B$54:$F$58,3,0)," ")</f>
        <v>4599</v>
      </c>
      <c r="W563" s="167">
        <f>IFERROR(VLOOKUP(N563,TD!$B$54:$F$58,4,0)," ")</f>
        <v>20240207</v>
      </c>
      <c r="X563" s="174" t="s">
        <v>174</v>
      </c>
      <c r="Y563" s="167" t="str">
        <f>IFERROR(VLOOKUP(X563,TD!$J$55:$K$68,2,0)," ")</f>
        <v>Infraestructura física, mantenimiento y dotación (Sedes construidas, mantenidas reforzadas)</v>
      </c>
      <c r="Z563" s="180" t="str">
        <f>CONCATENATE(X563,"-",Y563)</f>
        <v>08-Infraestructura física, mantenimiento y dotación (Sedes construidas, mantenidas reforzadas)</v>
      </c>
      <c r="AA563" s="174" t="s">
        <v>227</v>
      </c>
      <c r="AB563" s="167" t="str">
        <f>IFERROR(VLOOKUP(AA563,TD!$N$55:$O$70,2,0)," ")</f>
        <v>Sedes mantenidas</v>
      </c>
      <c r="AC563" s="168" t="str">
        <f>CONCATENATE(AA563,"_",AB563)</f>
        <v>016_Sedes mantenidas</v>
      </c>
      <c r="AD563" s="168" t="str">
        <f>CONCATENATE(Z563," ",AC563)</f>
        <v>08-Infraestructura física, mantenimiento y dotación (Sedes construidas, mantenidas reforzadas) 016_Sedes mantenidas</v>
      </c>
      <c r="AE563" s="167" t="str">
        <f>CONCATENATE(U563,V563,W563,X563,AA563)</f>
        <v>O23011745992024020708016</v>
      </c>
      <c r="AF563" s="167" t="str">
        <f>IFERROR(VLOOKUP(AD563,TD!$J$70:$K$93,2,0)," ")</f>
        <v>PM/0131/0108/45990160207</v>
      </c>
      <c r="AG563" s="130" t="s">
        <v>385</v>
      </c>
      <c r="AH563" s="175" t="s">
        <v>193</v>
      </c>
      <c r="AI563" s="183" t="str">
        <f>CONCATENATE(PAA[[#This Row],[Id Interno]],"-",PAA[[#This Row],[tipo de Contrato (TH talento humano - B/S bienes y/o servicios)]],"-",S563,"-",T563,"-",PAA[[#This Row],[Objeto de la contratación]])</f>
        <v>20260549-TH-8126-9--Prestar servicios profesionales jurídicos en el desarrollo de las actividades estrategicas de la Dirección General de la UAE Cuerpo Oficial de Bomberos de Bogotá</v>
      </c>
    </row>
    <row r="564" spans="2:35" ht="42" x14ac:dyDescent="0.35">
      <c r="B564" s="143">
        <v>20260550</v>
      </c>
      <c r="C564" s="97" t="s">
        <v>755</v>
      </c>
      <c r="D564" s="23" t="s">
        <v>105</v>
      </c>
      <c r="E564" s="23" t="s">
        <v>363</v>
      </c>
      <c r="F564" s="23" t="s">
        <v>144</v>
      </c>
      <c r="G564" s="124" t="s">
        <v>374</v>
      </c>
      <c r="H564" s="131">
        <v>11</v>
      </c>
      <c r="I564" s="131">
        <v>0</v>
      </c>
      <c r="J564" s="122">
        <v>101200000</v>
      </c>
      <c r="K564" s="88" t="s">
        <v>398</v>
      </c>
      <c r="L564" s="163" t="s">
        <v>45</v>
      </c>
      <c r="M564" s="166" t="s">
        <v>401</v>
      </c>
      <c r="N564" s="23" t="s">
        <v>197</v>
      </c>
      <c r="O564" s="144" t="s">
        <v>886</v>
      </c>
      <c r="P564" s="166" t="s">
        <v>348</v>
      </c>
      <c r="Q564" s="53">
        <v>80111600</v>
      </c>
      <c r="R564" s="166" t="s">
        <v>208</v>
      </c>
      <c r="S564" s="166" t="str">
        <f>MID(PAA[[#This Row],[Meta Proyecto de Inversión]],1,4)</f>
        <v>8126</v>
      </c>
      <c r="T564" s="166" t="str">
        <f>MID(PAA[[#This Row],[Meta Proyecto de Inversión]],6,2)</f>
        <v>9-</v>
      </c>
      <c r="U564" s="167" t="str">
        <f>IFERROR(VLOOKUP(N564,TD!$B$54:$F$58,2,0)," ")</f>
        <v>O230117</v>
      </c>
      <c r="V564" s="167" t="str">
        <f>IFERROR(VLOOKUP(N564,TD!$B$54:$F$58,3,0)," ")</f>
        <v>4599</v>
      </c>
      <c r="W564" s="167">
        <f>IFERROR(VLOOKUP(N564,TD!$B$54:$F$58,4,0)," ")</f>
        <v>20240207</v>
      </c>
      <c r="X564" s="174" t="s">
        <v>174</v>
      </c>
      <c r="Y564" s="167" t="str">
        <f>IFERROR(VLOOKUP(X564,TD!$J$55:$K$68,2,0)," ")</f>
        <v>Infraestructura física, mantenimiento y dotación (Sedes construidas, mantenidas reforzadas)</v>
      </c>
      <c r="Z564" s="180" t="str">
        <f>CONCATENATE(X564,"-",Y564)</f>
        <v>08-Infraestructura física, mantenimiento y dotación (Sedes construidas, mantenidas reforzadas)</v>
      </c>
      <c r="AA564" s="174" t="s">
        <v>227</v>
      </c>
      <c r="AB564" s="167" t="str">
        <f>IFERROR(VLOOKUP(AA564,TD!$N$55:$O$70,2,0)," ")</f>
        <v>Sedes mantenidas</v>
      </c>
      <c r="AC564" s="168" t="str">
        <f>CONCATENATE(AA564,"_",AB564)</f>
        <v>016_Sedes mantenidas</v>
      </c>
      <c r="AD564" s="168" t="str">
        <f>CONCATENATE(Z564," ",AC564)</f>
        <v>08-Infraestructura física, mantenimiento y dotación (Sedes construidas, mantenidas reforzadas) 016_Sedes mantenidas</v>
      </c>
      <c r="AE564" s="167" t="str">
        <f>CONCATENATE(U564,V564,W564,X564,AA564)</f>
        <v>O23011745992024020708016</v>
      </c>
      <c r="AF564" s="167" t="str">
        <f>IFERROR(VLOOKUP(AD564,TD!$J$70:$K$93,2,0)," ")</f>
        <v>PM/0131/0108/45990160207</v>
      </c>
      <c r="AG564" s="130" t="s">
        <v>385</v>
      </c>
      <c r="AH564" s="175" t="s">
        <v>193</v>
      </c>
      <c r="AI564" s="183" t="str">
        <f>CONCATENATE(PAA[[#This Row],[Id Interno]],"-",PAA[[#This Row],[tipo de Contrato (TH talento humano - B/S bienes y/o servicios)]],"-",S564,"-",T564,"-",PAA[[#This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65" spans="2:35" ht="56" x14ac:dyDescent="0.35">
      <c r="B565" s="143">
        <v>20260551</v>
      </c>
      <c r="C565" s="97" t="s">
        <v>756</v>
      </c>
      <c r="D565" s="23" t="s">
        <v>105</v>
      </c>
      <c r="E565" s="23" t="s">
        <v>363</v>
      </c>
      <c r="F565" s="23" t="s">
        <v>144</v>
      </c>
      <c r="G565" s="124" t="s">
        <v>374</v>
      </c>
      <c r="H565" s="131">
        <v>11</v>
      </c>
      <c r="I565" s="131">
        <v>0</v>
      </c>
      <c r="J565" s="122">
        <v>66000000</v>
      </c>
      <c r="K565" s="88" t="s">
        <v>398</v>
      </c>
      <c r="L565" s="163" t="s">
        <v>45</v>
      </c>
      <c r="M565" s="166" t="s">
        <v>401</v>
      </c>
      <c r="N565" s="23" t="s">
        <v>197</v>
      </c>
      <c r="O565" s="144" t="s">
        <v>886</v>
      </c>
      <c r="P565" s="166" t="s">
        <v>348</v>
      </c>
      <c r="Q565" s="53">
        <v>80111600</v>
      </c>
      <c r="R565" s="166" t="s">
        <v>208</v>
      </c>
      <c r="S565" s="166" t="str">
        <f>MID(PAA[[#This Row],[Meta Proyecto de Inversión]],1,4)</f>
        <v>8126</v>
      </c>
      <c r="T565" s="166" t="str">
        <f>MID(PAA[[#This Row],[Meta Proyecto de Inversión]],6,2)</f>
        <v>9-</v>
      </c>
      <c r="U565" s="167" t="str">
        <f>IFERROR(VLOOKUP(N565,TD!$B$54:$F$58,2,0)," ")</f>
        <v>O230117</v>
      </c>
      <c r="V565" s="167" t="str">
        <f>IFERROR(VLOOKUP(N565,TD!$B$54:$F$58,3,0)," ")</f>
        <v>4599</v>
      </c>
      <c r="W565" s="167">
        <f>IFERROR(VLOOKUP(N565,TD!$B$54:$F$58,4,0)," ")</f>
        <v>20240207</v>
      </c>
      <c r="X565" s="174" t="s">
        <v>174</v>
      </c>
      <c r="Y565" s="167" t="str">
        <f>IFERROR(VLOOKUP(X565,TD!$J$55:$K$68,2,0)," ")</f>
        <v>Infraestructura física, mantenimiento y dotación (Sedes construidas, mantenidas reforzadas)</v>
      </c>
      <c r="Z565" s="180" t="str">
        <f>CONCATENATE(X565,"-",Y565)</f>
        <v>08-Infraestructura física, mantenimiento y dotación (Sedes construidas, mantenidas reforzadas)</v>
      </c>
      <c r="AA565" s="174" t="s">
        <v>227</v>
      </c>
      <c r="AB565" s="167" t="str">
        <f>IFERROR(VLOOKUP(AA565,TD!$N$55:$O$70,2,0)," ")</f>
        <v>Sedes mantenidas</v>
      </c>
      <c r="AC565" s="168" t="str">
        <f>CONCATENATE(AA565,"_",AB565)</f>
        <v>016_Sedes mantenidas</v>
      </c>
      <c r="AD565" s="168" t="str">
        <f>CONCATENATE(Z565," ",AC565)</f>
        <v>08-Infraestructura física, mantenimiento y dotación (Sedes construidas, mantenidas reforzadas) 016_Sedes mantenidas</v>
      </c>
      <c r="AE565" s="167" t="str">
        <f>CONCATENATE(U565,V565,W565,X565,AA565)</f>
        <v>O23011745992024020708016</v>
      </c>
      <c r="AF565" s="167" t="str">
        <f>IFERROR(VLOOKUP(AD565,TD!$J$70:$K$93,2,0)," ")</f>
        <v>PM/0131/0108/45990160207</v>
      </c>
      <c r="AG565" s="130" t="s">
        <v>385</v>
      </c>
      <c r="AH565" s="175" t="s">
        <v>193</v>
      </c>
      <c r="AI565" s="183" t="str">
        <f>CONCATENATE(PAA[[#This Row],[Id Interno]],"-",PAA[[#This Row],[tipo de Contrato (TH talento humano - B/S bienes y/o servicios)]],"-",S565,"-",T565,"-",PAA[[#This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66" spans="2:35" ht="70" x14ac:dyDescent="0.35">
      <c r="B566" s="143">
        <v>20260552</v>
      </c>
      <c r="C566" s="97" t="s">
        <v>757</v>
      </c>
      <c r="D566" s="23" t="s">
        <v>105</v>
      </c>
      <c r="E566" s="23" t="s">
        <v>363</v>
      </c>
      <c r="F566" s="23" t="s">
        <v>144</v>
      </c>
      <c r="G566" s="124" t="s">
        <v>374</v>
      </c>
      <c r="H566" s="131">
        <v>11</v>
      </c>
      <c r="I566" s="131">
        <v>0</v>
      </c>
      <c r="J566" s="122">
        <v>110000000</v>
      </c>
      <c r="K566" s="88" t="s">
        <v>398</v>
      </c>
      <c r="L566" s="163" t="s">
        <v>45</v>
      </c>
      <c r="M566" s="166" t="s">
        <v>401</v>
      </c>
      <c r="N566" s="23" t="s">
        <v>197</v>
      </c>
      <c r="O566" s="144" t="s">
        <v>886</v>
      </c>
      <c r="P566" s="166" t="s">
        <v>348</v>
      </c>
      <c r="Q566" s="53">
        <v>80111600</v>
      </c>
      <c r="R566" s="166" t="s">
        <v>208</v>
      </c>
      <c r="S566" s="166" t="str">
        <f>MID(PAA[[#This Row],[Meta Proyecto de Inversión]],1,4)</f>
        <v>8126</v>
      </c>
      <c r="T566" s="166" t="str">
        <f>MID(PAA[[#This Row],[Meta Proyecto de Inversión]],6,2)</f>
        <v>9-</v>
      </c>
      <c r="U566" s="167" t="str">
        <f>IFERROR(VLOOKUP(N566,TD!$B$54:$F$58,2,0)," ")</f>
        <v>O230117</v>
      </c>
      <c r="V566" s="167" t="str">
        <f>IFERROR(VLOOKUP(N566,TD!$B$54:$F$58,3,0)," ")</f>
        <v>4599</v>
      </c>
      <c r="W566" s="167">
        <f>IFERROR(VLOOKUP(N566,TD!$B$54:$F$58,4,0)," ")</f>
        <v>20240207</v>
      </c>
      <c r="X566" s="174" t="s">
        <v>174</v>
      </c>
      <c r="Y566" s="167" t="str">
        <f>IFERROR(VLOOKUP(X566,TD!$J$55:$K$68,2,0)," ")</f>
        <v>Infraestructura física, mantenimiento y dotación (Sedes construidas, mantenidas reforzadas)</v>
      </c>
      <c r="Z566" s="180" t="str">
        <f>CONCATENATE(X566,"-",Y566)</f>
        <v>08-Infraestructura física, mantenimiento y dotación (Sedes construidas, mantenidas reforzadas)</v>
      </c>
      <c r="AA566" s="174" t="s">
        <v>227</v>
      </c>
      <c r="AB566" s="167" t="str">
        <f>IFERROR(VLOOKUP(AA566,TD!$N$55:$O$70,2,0)," ")</f>
        <v>Sedes mantenidas</v>
      </c>
      <c r="AC566" s="168" t="str">
        <f>CONCATENATE(AA566,"_",AB566)</f>
        <v>016_Sedes mantenidas</v>
      </c>
      <c r="AD566" s="168" t="str">
        <f>CONCATENATE(Z566," ",AC566)</f>
        <v>08-Infraestructura física, mantenimiento y dotación (Sedes construidas, mantenidas reforzadas) 016_Sedes mantenidas</v>
      </c>
      <c r="AE566" s="167" t="str">
        <f>CONCATENATE(U566,V566,W566,X566,AA566)</f>
        <v>O23011745992024020708016</v>
      </c>
      <c r="AF566" s="167" t="str">
        <f>IFERROR(VLOOKUP(AD566,TD!$J$70:$K$93,2,0)," ")</f>
        <v>PM/0131/0108/45990160207</v>
      </c>
      <c r="AG566" s="130" t="s">
        <v>385</v>
      </c>
      <c r="AH566" s="175" t="s">
        <v>193</v>
      </c>
      <c r="AI566" s="183" t="str">
        <f>CONCATENATE(PAA[[#This Row],[Id Interno]],"-",PAA[[#This Row],[tipo de Contrato (TH talento humano - B/S bienes y/o servicios)]],"-",S566,"-",T566,"-",PAA[[#This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67" spans="2:35" ht="70" x14ac:dyDescent="0.35">
      <c r="B567" s="143">
        <v>20260553</v>
      </c>
      <c r="C567" s="97" t="s">
        <v>758</v>
      </c>
      <c r="D567" s="23" t="s">
        <v>105</v>
      </c>
      <c r="E567" s="23" t="s">
        <v>363</v>
      </c>
      <c r="F567" s="23" t="s">
        <v>144</v>
      </c>
      <c r="G567" s="124" t="s">
        <v>374</v>
      </c>
      <c r="H567" s="131">
        <v>11</v>
      </c>
      <c r="I567" s="131">
        <v>0</v>
      </c>
      <c r="J567" s="122">
        <v>66000000</v>
      </c>
      <c r="K567" s="88" t="s">
        <v>398</v>
      </c>
      <c r="L567" s="163" t="s">
        <v>45</v>
      </c>
      <c r="M567" s="166" t="s">
        <v>401</v>
      </c>
      <c r="N567" s="23" t="s">
        <v>197</v>
      </c>
      <c r="O567" s="144" t="s">
        <v>886</v>
      </c>
      <c r="P567" s="166" t="s">
        <v>348</v>
      </c>
      <c r="Q567" s="53">
        <v>80111600</v>
      </c>
      <c r="R567" s="166" t="s">
        <v>208</v>
      </c>
      <c r="S567" s="166" t="str">
        <f>MID(PAA[[#This Row],[Meta Proyecto de Inversión]],1,4)</f>
        <v>8126</v>
      </c>
      <c r="T567" s="166" t="str">
        <f>MID(PAA[[#This Row],[Meta Proyecto de Inversión]],6,2)</f>
        <v>9-</v>
      </c>
      <c r="U567" s="167" t="str">
        <f>IFERROR(VLOOKUP(N567,TD!$B$54:$F$58,2,0)," ")</f>
        <v>O230117</v>
      </c>
      <c r="V567" s="167" t="str">
        <f>IFERROR(VLOOKUP(N567,TD!$B$54:$F$58,3,0)," ")</f>
        <v>4599</v>
      </c>
      <c r="W567" s="167">
        <f>IFERROR(VLOOKUP(N567,TD!$B$54:$F$58,4,0)," ")</f>
        <v>20240207</v>
      </c>
      <c r="X567" s="174" t="s">
        <v>174</v>
      </c>
      <c r="Y567" s="167" t="str">
        <f>IFERROR(VLOOKUP(X567,TD!$J$55:$K$68,2,0)," ")</f>
        <v>Infraestructura física, mantenimiento y dotación (Sedes construidas, mantenidas reforzadas)</v>
      </c>
      <c r="Z567" s="180" t="str">
        <f>CONCATENATE(X567,"-",Y567)</f>
        <v>08-Infraestructura física, mantenimiento y dotación (Sedes construidas, mantenidas reforzadas)</v>
      </c>
      <c r="AA567" s="174" t="s">
        <v>227</v>
      </c>
      <c r="AB567" s="167" t="str">
        <f>IFERROR(VLOOKUP(AA567,TD!$N$55:$O$70,2,0)," ")</f>
        <v>Sedes mantenidas</v>
      </c>
      <c r="AC567" s="168" t="str">
        <f>CONCATENATE(AA567,"_",AB567)</f>
        <v>016_Sedes mantenidas</v>
      </c>
      <c r="AD567" s="168" t="str">
        <f>CONCATENATE(Z567," ",AC567)</f>
        <v>08-Infraestructura física, mantenimiento y dotación (Sedes construidas, mantenidas reforzadas) 016_Sedes mantenidas</v>
      </c>
      <c r="AE567" s="167" t="str">
        <f>CONCATENATE(U567,V567,W567,X567,AA567)</f>
        <v>O23011745992024020708016</v>
      </c>
      <c r="AF567" s="167" t="str">
        <f>IFERROR(VLOOKUP(AD567,TD!$J$70:$K$93,2,0)," ")</f>
        <v>PM/0131/0108/45990160207</v>
      </c>
      <c r="AG567" s="130" t="s">
        <v>385</v>
      </c>
      <c r="AH567" s="175" t="s">
        <v>193</v>
      </c>
      <c r="AI567" s="169" t="str">
        <f>CONCATENATE(PAA[[#This Row],[Id Interno]],"-",PAA[[#This Row],[tipo de Contrato (TH talento humano - B/S bienes y/o servicios)]],"-",S567,"-",T567,"-",PAA[[#This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68" spans="2:35" ht="56" x14ac:dyDescent="0.35">
      <c r="B568" s="137">
        <v>20260554</v>
      </c>
      <c r="C568" s="117" t="s">
        <v>759</v>
      </c>
      <c r="D568" s="125" t="s">
        <v>105</v>
      </c>
      <c r="E568" s="125" t="s">
        <v>363</v>
      </c>
      <c r="F568" s="125" t="s">
        <v>144</v>
      </c>
      <c r="G568" s="126" t="s">
        <v>374</v>
      </c>
      <c r="H568" s="132">
        <v>10</v>
      </c>
      <c r="I568" s="132">
        <v>0</v>
      </c>
      <c r="J568" s="127">
        <v>66000000</v>
      </c>
      <c r="K568" s="128" t="s">
        <v>398</v>
      </c>
      <c r="L568" s="176" t="s">
        <v>45</v>
      </c>
      <c r="M568" s="174" t="s">
        <v>401</v>
      </c>
      <c r="N568" s="125" t="s">
        <v>197</v>
      </c>
      <c r="O568" s="156" t="s">
        <v>886</v>
      </c>
      <c r="P568" s="174" t="s">
        <v>348</v>
      </c>
      <c r="Q568" s="129">
        <v>80111600</v>
      </c>
      <c r="R568" s="174" t="s">
        <v>208</v>
      </c>
      <c r="S568" s="174" t="str">
        <f>MID(PAA[[#This Row],[Meta Proyecto de Inversión]],1,4)</f>
        <v>8126</v>
      </c>
      <c r="T568" s="174" t="str">
        <f>MID(PAA[[#This Row],[Meta Proyecto de Inversión]],6,2)</f>
        <v>9-</v>
      </c>
      <c r="U568" s="179" t="str">
        <f>IFERROR(VLOOKUP(N568,TD!$B$54:$F$58,2,0)," ")</f>
        <v>O230117</v>
      </c>
      <c r="V568" s="179" t="str">
        <f>IFERROR(VLOOKUP(N568,TD!$B$54:$F$58,3,0)," ")</f>
        <v>4599</v>
      </c>
      <c r="W568" s="179">
        <f>IFERROR(VLOOKUP(N568,TD!$B$54:$F$58,4,0)," ")</f>
        <v>20240207</v>
      </c>
      <c r="X568" s="174" t="s">
        <v>174</v>
      </c>
      <c r="Y568" s="167" t="str">
        <f>IFERROR(VLOOKUP(X568,TD!$J$55:$K$68,2,0)," ")</f>
        <v>Infraestructura física, mantenimiento y dotación (Sedes construidas, mantenidas reforzadas)</v>
      </c>
      <c r="Z568" s="180" t="str">
        <f>CONCATENATE(X568,"-",Y568)</f>
        <v>08-Infraestructura física, mantenimiento y dotación (Sedes construidas, mantenidas reforzadas)</v>
      </c>
      <c r="AA568" s="174" t="s">
        <v>227</v>
      </c>
      <c r="AB568" s="167" t="str">
        <f>IFERROR(VLOOKUP(AA568,TD!$N$55:$O$70,2,0)," ")</f>
        <v>Sedes mantenidas</v>
      </c>
      <c r="AC568" s="180" t="str">
        <f>CONCATENATE(AA568,"_",AB568)</f>
        <v>016_Sedes mantenidas</v>
      </c>
      <c r="AD568" s="180" t="str">
        <f>CONCATENATE(Z568," ",AC568)</f>
        <v>08-Infraestructura física, mantenimiento y dotación (Sedes construidas, mantenidas reforzadas) 016_Sedes mantenidas</v>
      </c>
      <c r="AE568" s="179" t="str">
        <f>CONCATENATE(U568,V568,W568,X568,AA568)</f>
        <v>O23011745992024020708016</v>
      </c>
      <c r="AF568" s="167" t="str">
        <f>IFERROR(VLOOKUP(AD568,TD!$J$70:$K$93,2,0)," ")</f>
        <v>PM/0131/0108/45990160207</v>
      </c>
      <c r="AG568" s="130" t="s">
        <v>385</v>
      </c>
      <c r="AH568" s="181" t="s">
        <v>193</v>
      </c>
      <c r="AI568" s="183" t="str">
        <f>CONCATENATE(PAA[[#This Row],[Id Interno]],"-",PAA[[#This Row],[tipo de Contrato (TH talento humano - B/S bienes y/o servicios)]],"-",S568,"-",T568,"-",PAA[[#This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69" spans="2:35" ht="70" x14ac:dyDescent="0.35">
      <c r="B569" s="137">
        <v>20260555</v>
      </c>
      <c r="C569" s="117" t="s">
        <v>760</v>
      </c>
      <c r="D569" s="125" t="s">
        <v>105</v>
      </c>
      <c r="E569" s="125" t="s">
        <v>363</v>
      </c>
      <c r="F569" s="125" t="s">
        <v>144</v>
      </c>
      <c r="G569" s="126" t="s">
        <v>374</v>
      </c>
      <c r="H569" s="132">
        <v>10</v>
      </c>
      <c r="I569" s="132">
        <v>0</v>
      </c>
      <c r="J569" s="127">
        <v>107000000</v>
      </c>
      <c r="K569" s="128" t="s">
        <v>398</v>
      </c>
      <c r="L569" s="176" t="s">
        <v>150</v>
      </c>
      <c r="M569" s="174" t="s">
        <v>401</v>
      </c>
      <c r="N569" s="125" t="s">
        <v>197</v>
      </c>
      <c r="O569" s="144" t="s">
        <v>886</v>
      </c>
      <c r="P569" s="174" t="s">
        <v>348</v>
      </c>
      <c r="Q569" s="129">
        <v>80111600</v>
      </c>
      <c r="R569" s="174" t="s">
        <v>209</v>
      </c>
      <c r="S569" s="174" t="str">
        <f>MID(PAA[[#This Row],[Meta Proyecto de Inversión]],1,4)</f>
        <v>8126</v>
      </c>
      <c r="T569" s="174" t="str">
        <f>MID(PAA[[#This Row],[Meta Proyecto de Inversión]],6,2)</f>
        <v>10</v>
      </c>
      <c r="U569" s="179" t="str">
        <f>IFERROR(VLOOKUP(N569,TD!$B$54:$F$58,2,0)," ")</f>
        <v>O230117</v>
      </c>
      <c r="V569" s="179" t="str">
        <f>IFERROR(VLOOKUP(N569,TD!$B$54:$F$58,3,0)," ")</f>
        <v>4599</v>
      </c>
      <c r="W569" s="179">
        <f>IFERROR(VLOOKUP(N569,TD!$B$54:$F$58,4,0)," ")</f>
        <v>20240207</v>
      </c>
      <c r="X569" s="174" t="s">
        <v>182</v>
      </c>
      <c r="Y569" s="167" t="str">
        <f>IFERROR(VLOOKUP(X569,TD!$J$55:$K$68,2,0)," ")</f>
        <v>Servicios para la planeación y sistemas de gestión y comunicación estratégica</v>
      </c>
      <c r="Z569" s="180" t="str">
        <f>CONCATENATE(X569,"-",Y569)</f>
        <v>13-Servicios para la planeación y sistemas de gestión y comunicación estratégica</v>
      </c>
      <c r="AA569" s="174" t="s">
        <v>231</v>
      </c>
      <c r="AB569" s="167" t="str">
        <f>IFERROR(VLOOKUP(AA569,TD!$N$55:$O$70,2,0)," ")</f>
        <v>Documentos de planeación</v>
      </c>
      <c r="AC569" s="180" t="str">
        <f>CONCATENATE(AA569,"_",AB569)</f>
        <v>019_Documentos de planeación</v>
      </c>
      <c r="AD569" s="180" t="str">
        <f>CONCATENATE(Z569," ",AC569)</f>
        <v>13-Servicios para la planeación y sistemas de gestión y comunicación estratégica 019_Documentos de planeación</v>
      </c>
      <c r="AE569" s="179" t="str">
        <f>CONCATENATE(U569,V569,W569,X569,AA569)</f>
        <v>O23011745992024020713019</v>
      </c>
      <c r="AF569" s="167" t="str">
        <f>IFERROR(VLOOKUP(AD569,TD!$J$70:$K$93,2,0)," ")</f>
        <v>PM/0131/0113/45990190207</v>
      </c>
      <c r="AG569" s="130" t="s">
        <v>385</v>
      </c>
      <c r="AH569" s="181" t="s">
        <v>193</v>
      </c>
      <c r="AI569" s="183" t="str">
        <f>CONCATENATE(PAA[[#This Row],[Id Interno]],"-",PAA[[#This Row],[tipo de Contrato (TH talento humano - B/S bienes y/o servicios)]],"-",S569,"-",T569,"-",PAA[[#This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70" spans="2:35" ht="70" x14ac:dyDescent="0.35">
      <c r="B570" s="137">
        <v>20260557</v>
      </c>
      <c r="C570" s="117" t="s">
        <v>761</v>
      </c>
      <c r="D570" s="125" t="s">
        <v>105</v>
      </c>
      <c r="E570" s="125" t="s">
        <v>363</v>
      </c>
      <c r="F570" s="125" t="s">
        <v>145</v>
      </c>
      <c r="G570" s="126" t="s">
        <v>379</v>
      </c>
      <c r="H570" s="132">
        <v>4</v>
      </c>
      <c r="I570" s="132">
        <v>0</v>
      </c>
      <c r="J570" s="127">
        <v>17963264</v>
      </c>
      <c r="K570" s="128" t="s">
        <v>398</v>
      </c>
      <c r="L570" s="176" t="s">
        <v>150</v>
      </c>
      <c r="M570" s="174" t="s">
        <v>401</v>
      </c>
      <c r="N570" s="125" t="s">
        <v>197</v>
      </c>
      <c r="O570" s="144" t="s">
        <v>886</v>
      </c>
      <c r="P570" s="174" t="s">
        <v>348</v>
      </c>
      <c r="Q570" s="129">
        <v>80111600</v>
      </c>
      <c r="R570" s="174" t="s">
        <v>209</v>
      </c>
      <c r="S570" s="174" t="str">
        <f>MID(PAA[[#This Row],[Meta Proyecto de Inversión]],1,4)</f>
        <v>8126</v>
      </c>
      <c r="T570" s="174" t="str">
        <f>MID(PAA[[#This Row],[Meta Proyecto de Inversión]],6,2)</f>
        <v>10</v>
      </c>
      <c r="U570" s="179" t="str">
        <f>IFERROR(VLOOKUP(N570,TD!$B$54:$F$58,2,0)," ")</f>
        <v>O230117</v>
      </c>
      <c r="V570" s="179" t="str">
        <f>IFERROR(VLOOKUP(N570,TD!$B$54:$F$58,3,0)," ")</f>
        <v>4599</v>
      </c>
      <c r="W570" s="179">
        <f>IFERROR(VLOOKUP(N570,TD!$B$54:$F$58,4,0)," ")</f>
        <v>20240207</v>
      </c>
      <c r="X570" s="174" t="s">
        <v>182</v>
      </c>
      <c r="Y570" s="167" t="str">
        <f>IFERROR(VLOOKUP(X570,TD!$J$55:$K$68,2,0)," ")</f>
        <v>Servicios para la planeación y sistemas de gestión y comunicación estratégica</v>
      </c>
      <c r="Z570" s="180" t="str">
        <f>CONCATENATE(X570,"-",Y570)</f>
        <v>13-Servicios para la planeación y sistemas de gestión y comunicación estratégica</v>
      </c>
      <c r="AA570" s="174" t="s">
        <v>231</v>
      </c>
      <c r="AB570" s="167" t="str">
        <f>IFERROR(VLOOKUP(AA570,TD!$N$55:$O$70,2,0)," ")</f>
        <v>Documentos de planeación</v>
      </c>
      <c r="AC570" s="180" t="str">
        <f>CONCATENATE(AA570,"_",AB570)</f>
        <v>019_Documentos de planeación</v>
      </c>
      <c r="AD570" s="180" t="str">
        <f>CONCATENATE(Z570," ",AC570)</f>
        <v>13-Servicios para la planeación y sistemas de gestión y comunicación estratégica 019_Documentos de planeación</v>
      </c>
      <c r="AE570" s="179" t="str">
        <f>CONCATENATE(U570,V570,W570,X570,AA570)</f>
        <v>O23011745992024020713019</v>
      </c>
      <c r="AF570" s="167" t="str">
        <f>IFERROR(VLOOKUP(AD570,TD!$J$70:$K$93,2,0)," ")</f>
        <v>PM/0131/0113/45990190207</v>
      </c>
      <c r="AG570" s="130" t="s">
        <v>385</v>
      </c>
      <c r="AH570" s="181" t="s">
        <v>193</v>
      </c>
      <c r="AI570" s="183" t="str">
        <f>CONCATENATE(PAA[[#This Row],[Id Interno]],"-",PAA[[#This Row],[tipo de Contrato (TH talento humano - B/S bienes y/o servicios)]],"-",S570,"-",T570,"-",PAA[[#This Row],[Objeto de la contratación]])</f>
        <v>20260557-TH-8126-10-Prestar servicios de apoyo para la gestión en asuntos de comunicaciones y prensa en la Dirección General, y demás acciones encaminadas al cumplimiento de las estrategias comunicacionales de la UAECOB</v>
      </c>
    </row>
    <row r="571" spans="2:35" ht="70" x14ac:dyDescent="0.35">
      <c r="B571" s="137">
        <v>20260558</v>
      </c>
      <c r="C571" s="117" t="s">
        <v>762</v>
      </c>
      <c r="D571" s="125" t="s">
        <v>105</v>
      </c>
      <c r="E571" s="125" t="s">
        <v>363</v>
      </c>
      <c r="F571" s="125" t="s">
        <v>144</v>
      </c>
      <c r="G571" s="126" t="s">
        <v>374</v>
      </c>
      <c r="H571" s="132">
        <v>10</v>
      </c>
      <c r="I571" s="132">
        <v>0</v>
      </c>
      <c r="J571" s="127">
        <v>70000000</v>
      </c>
      <c r="K571" s="128" t="s">
        <v>398</v>
      </c>
      <c r="L571" s="176" t="s">
        <v>150</v>
      </c>
      <c r="M571" s="174" t="s">
        <v>401</v>
      </c>
      <c r="N571" s="125" t="s">
        <v>197</v>
      </c>
      <c r="O571" s="156" t="s">
        <v>886</v>
      </c>
      <c r="P571" s="174" t="s">
        <v>348</v>
      </c>
      <c r="Q571" s="129">
        <v>80111600</v>
      </c>
      <c r="R571" s="174" t="s">
        <v>209</v>
      </c>
      <c r="S571" s="174" t="str">
        <f>MID(PAA[[#This Row],[Meta Proyecto de Inversión]],1,4)</f>
        <v>8126</v>
      </c>
      <c r="T571" s="174" t="str">
        <f>MID(PAA[[#This Row],[Meta Proyecto de Inversión]],6,2)</f>
        <v>10</v>
      </c>
      <c r="U571" s="179" t="str">
        <f>IFERROR(VLOOKUP(N571,TD!$B$54:$F$58,2,0)," ")</f>
        <v>O230117</v>
      </c>
      <c r="V571" s="179" t="str">
        <f>IFERROR(VLOOKUP(N571,TD!$B$54:$F$58,3,0)," ")</f>
        <v>4599</v>
      </c>
      <c r="W571" s="179">
        <f>IFERROR(VLOOKUP(N571,TD!$B$54:$F$58,4,0)," ")</f>
        <v>20240207</v>
      </c>
      <c r="X571" s="174" t="s">
        <v>182</v>
      </c>
      <c r="Y571" s="167" t="str">
        <f>IFERROR(VLOOKUP(X571,TD!$J$55:$K$68,2,0)," ")</f>
        <v>Servicios para la planeación y sistemas de gestión y comunicación estratégica</v>
      </c>
      <c r="Z571" s="180" t="str">
        <f>CONCATENATE(X571,"-",Y571)</f>
        <v>13-Servicios para la planeación y sistemas de gestión y comunicación estratégica</v>
      </c>
      <c r="AA571" s="174" t="s">
        <v>231</v>
      </c>
      <c r="AB571" s="167" t="str">
        <f>IFERROR(VLOOKUP(AA571,TD!$N$55:$O$70,2,0)," ")</f>
        <v>Documentos de planeación</v>
      </c>
      <c r="AC571" s="180" t="str">
        <f>CONCATENATE(AA571,"_",AB571)</f>
        <v>019_Documentos de planeación</v>
      </c>
      <c r="AD571" s="180" t="str">
        <f>CONCATENATE(Z571," ",AC571)</f>
        <v>13-Servicios para la planeación y sistemas de gestión y comunicación estratégica 019_Documentos de planeación</v>
      </c>
      <c r="AE571" s="179" t="str">
        <f>CONCATENATE(U571,V571,W571,X571,AA571)</f>
        <v>O23011745992024020713019</v>
      </c>
      <c r="AF571" s="167" t="str">
        <f>IFERROR(VLOOKUP(AD571,TD!$J$70:$K$93,2,0)," ")</f>
        <v>PM/0131/0113/45990190207</v>
      </c>
      <c r="AG571" s="130" t="s">
        <v>385</v>
      </c>
      <c r="AH571" s="181" t="s">
        <v>193</v>
      </c>
      <c r="AI571" s="183" t="str">
        <f>CONCATENATE(PAA[[#This Row],[Id Interno]],"-",PAA[[#This Row],[tipo de Contrato (TH talento humano - B/S bienes y/o servicios)]],"-",S571,"-",T571,"-",PAA[[#This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72" spans="2:35" ht="70" x14ac:dyDescent="0.35">
      <c r="B572" s="137">
        <v>20260559</v>
      </c>
      <c r="C572" s="117" t="s">
        <v>763</v>
      </c>
      <c r="D572" s="125" t="s">
        <v>105</v>
      </c>
      <c r="E572" s="125" t="s">
        <v>363</v>
      </c>
      <c r="F572" s="125" t="s">
        <v>144</v>
      </c>
      <c r="G572" s="126" t="s">
        <v>374</v>
      </c>
      <c r="H572" s="132">
        <v>10</v>
      </c>
      <c r="I572" s="132">
        <v>0</v>
      </c>
      <c r="J572" s="127">
        <v>82500000</v>
      </c>
      <c r="K572" s="128" t="s">
        <v>398</v>
      </c>
      <c r="L572" s="176" t="s">
        <v>150</v>
      </c>
      <c r="M572" s="174" t="s">
        <v>401</v>
      </c>
      <c r="N572" s="125" t="s">
        <v>197</v>
      </c>
      <c r="O572" s="156" t="s">
        <v>886</v>
      </c>
      <c r="P572" s="174" t="s">
        <v>348</v>
      </c>
      <c r="Q572" s="129">
        <v>80111600</v>
      </c>
      <c r="R572" s="174" t="s">
        <v>209</v>
      </c>
      <c r="S572" s="174" t="str">
        <f>MID(PAA[[#This Row],[Meta Proyecto de Inversión]],1,4)</f>
        <v>8126</v>
      </c>
      <c r="T572" s="174" t="str">
        <f>MID(PAA[[#This Row],[Meta Proyecto de Inversión]],6,2)</f>
        <v>10</v>
      </c>
      <c r="U572" s="179" t="str">
        <f>IFERROR(VLOOKUP(N572,TD!$B$54:$F$58,2,0)," ")</f>
        <v>O230117</v>
      </c>
      <c r="V572" s="179" t="str">
        <f>IFERROR(VLOOKUP(N572,TD!$B$54:$F$58,3,0)," ")</f>
        <v>4599</v>
      </c>
      <c r="W572" s="179">
        <f>IFERROR(VLOOKUP(N572,TD!$B$54:$F$58,4,0)," ")</f>
        <v>20240207</v>
      </c>
      <c r="X572" s="174" t="s">
        <v>182</v>
      </c>
      <c r="Y572" s="167" t="str">
        <f>IFERROR(VLOOKUP(X572,TD!$J$55:$K$68,2,0)," ")</f>
        <v>Servicios para la planeación y sistemas de gestión y comunicación estratégica</v>
      </c>
      <c r="Z572" s="180" t="str">
        <f>CONCATENATE(X572,"-",Y572)</f>
        <v>13-Servicios para la planeación y sistemas de gestión y comunicación estratégica</v>
      </c>
      <c r="AA572" s="174" t="s">
        <v>231</v>
      </c>
      <c r="AB572" s="167" t="str">
        <f>IFERROR(VLOOKUP(AA572,TD!$N$55:$O$70,2,0)," ")</f>
        <v>Documentos de planeación</v>
      </c>
      <c r="AC572" s="180" t="str">
        <f>CONCATENATE(AA572,"_",AB572)</f>
        <v>019_Documentos de planeación</v>
      </c>
      <c r="AD572" s="180" t="str">
        <f>CONCATENATE(Z572," ",AC572)</f>
        <v>13-Servicios para la planeación y sistemas de gestión y comunicación estratégica 019_Documentos de planeación</v>
      </c>
      <c r="AE572" s="179" t="str">
        <f>CONCATENATE(U572,V572,W572,X572,AA572)</f>
        <v>O23011745992024020713019</v>
      </c>
      <c r="AF572" s="167" t="str">
        <f>IFERROR(VLOOKUP(AD572,TD!$J$70:$K$93,2,0)," ")</f>
        <v>PM/0131/0113/45990190207</v>
      </c>
      <c r="AG572" s="130" t="s">
        <v>385</v>
      </c>
      <c r="AH572" s="181" t="s">
        <v>193</v>
      </c>
      <c r="AI572" s="183" t="str">
        <f>CONCATENATE(PAA[[#This Row],[Id Interno]],"-",PAA[[#This Row],[tipo de Contrato (TH talento humano - B/S bienes y/o servicios)]],"-",S572,"-",T572,"-",PAA[[#This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73" spans="2:35" s="56" customFormat="1" ht="70" x14ac:dyDescent="0.35">
      <c r="B573" s="143">
        <v>20260560</v>
      </c>
      <c r="C573" s="97" t="s">
        <v>764</v>
      </c>
      <c r="D573" s="23" t="s">
        <v>105</v>
      </c>
      <c r="E573" s="23" t="s">
        <v>363</v>
      </c>
      <c r="F573" s="23" t="s">
        <v>144</v>
      </c>
      <c r="G573" s="124" t="s">
        <v>374</v>
      </c>
      <c r="H573" s="131">
        <v>10</v>
      </c>
      <c r="I573" s="131">
        <v>0</v>
      </c>
      <c r="J573" s="122">
        <v>65000000</v>
      </c>
      <c r="K573" s="88" t="s">
        <v>398</v>
      </c>
      <c r="L573" s="163" t="s">
        <v>150</v>
      </c>
      <c r="M573" s="166" t="s">
        <v>401</v>
      </c>
      <c r="N573" s="23" t="s">
        <v>197</v>
      </c>
      <c r="O573" s="156" t="s">
        <v>886</v>
      </c>
      <c r="P573" s="166" t="s">
        <v>348</v>
      </c>
      <c r="Q573" s="53">
        <v>80111600</v>
      </c>
      <c r="R573" s="166" t="s">
        <v>209</v>
      </c>
      <c r="S573" s="166" t="str">
        <f>MID(PAA[[#This Row],[Meta Proyecto de Inversión]],1,4)</f>
        <v>8126</v>
      </c>
      <c r="T573" s="166" t="str">
        <f>MID(PAA[[#This Row],[Meta Proyecto de Inversión]],6,2)</f>
        <v>10</v>
      </c>
      <c r="U573" s="167" t="str">
        <f>IFERROR(VLOOKUP(N573,TD!$B$54:$F$58,2,0)," ")</f>
        <v>O230117</v>
      </c>
      <c r="V573" s="167" t="str">
        <f>IFERROR(VLOOKUP(N573,TD!$B$54:$F$58,3,0)," ")</f>
        <v>4599</v>
      </c>
      <c r="W573" s="167">
        <f>IFERROR(VLOOKUP(N573,TD!$B$54:$F$58,4,0)," ")</f>
        <v>20240207</v>
      </c>
      <c r="X573" s="174" t="s">
        <v>182</v>
      </c>
      <c r="Y573" s="167" t="str">
        <f>IFERROR(VLOOKUP(X573,TD!$J$55:$K$68,2,0)," ")</f>
        <v>Servicios para la planeación y sistemas de gestión y comunicación estratégica</v>
      </c>
      <c r="Z573" s="180" t="str">
        <f>CONCATENATE(X573,"-",Y573)</f>
        <v>13-Servicios para la planeación y sistemas de gestión y comunicación estratégica</v>
      </c>
      <c r="AA573" s="174" t="s">
        <v>231</v>
      </c>
      <c r="AB573" s="167" t="str">
        <f>IFERROR(VLOOKUP(AA573,TD!$N$55:$O$70,2,0)," ")</f>
        <v>Documentos de planeación</v>
      </c>
      <c r="AC573" s="168" t="str">
        <f>CONCATENATE(AA573,"_",AB573)</f>
        <v>019_Documentos de planeación</v>
      </c>
      <c r="AD573" s="168" t="str">
        <f>CONCATENATE(Z573," ",AC573)</f>
        <v>13-Servicios para la planeación y sistemas de gestión y comunicación estratégica 019_Documentos de planeación</v>
      </c>
      <c r="AE573" s="167" t="str">
        <f>CONCATENATE(U573,V573,W573,X573,AA573)</f>
        <v>O23011745992024020713019</v>
      </c>
      <c r="AF573" s="167" t="str">
        <f>IFERROR(VLOOKUP(AD573,TD!$J$70:$K$93,2,0)," ")</f>
        <v>PM/0131/0113/45990190207</v>
      </c>
      <c r="AG573" s="114" t="s">
        <v>385</v>
      </c>
      <c r="AH573" s="175" t="s">
        <v>193</v>
      </c>
      <c r="AI573" s="183" t="str">
        <f>CONCATENATE(PAA[[#This Row],[Id Interno]],"-",PAA[[#This Row],[tipo de Contrato (TH talento humano - B/S bienes y/o servicios)]],"-",S573,"-",T573,"-",PAA[[#This Row],[Objeto de la contratación]])</f>
        <v>20260560-TH-8126-10-Prestar servicios profesionales en la Dirección General para  el manejo de redes sociales de la entidad y apoyo periodistico requerido en el marco de la estrategia de comunicaciones y prensa de la UEACOB.</v>
      </c>
    </row>
    <row r="574" spans="2:35" ht="70" x14ac:dyDescent="0.35">
      <c r="B574" s="137">
        <v>20260561</v>
      </c>
      <c r="C574" s="117" t="s">
        <v>765</v>
      </c>
      <c r="D574" s="125" t="s">
        <v>105</v>
      </c>
      <c r="E574" s="125" t="s">
        <v>363</v>
      </c>
      <c r="F574" s="125" t="s">
        <v>144</v>
      </c>
      <c r="G574" s="126" t="s">
        <v>374</v>
      </c>
      <c r="H574" s="132">
        <v>10</v>
      </c>
      <c r="I574" s="132">
        <v>0</v>
      </c>
      <c r="J574" s="127">
        <v>60000000</v>
      </c>
      <c r="K574" s="128" t="s">
        <v>398</v>
      </c>
      <c r="L574" s="176" t="s">
        <v>150</v>
      </c>
      <c r="M574" s="174" t="s">
        <v>401</v>
      </c>
      <c r="N574" s="125" t="s">
        <v>197</v>
      </c>
      <c r="O574" s="156" t="s">
        <v>886</v>
      </c>
      <c r="P574" s="174" t="s">
        <v>348</v>
      </c>
      <c r="Q574" s="129">
        <v>80111600</v>
      </c>
      <c r="R574" s="174" t="s">
        <v>209</v>
      </c>
      <c r="S574" s="174" t="str">
        <f>MID(PAA[[#This Row],[Meta Proyecto de Inversión]],1,4)</f>
        <v>8126</v>
      </c>
      <c r="T574" s="174" t="str">
        <f>MID(PAA[[#This Row],[Meta Proyecto de Inversión]],6,2)</f>
        <v>10</v>
      </c>
      <c r="U574" s="179" t="str">
        <f>IFERROR(VLOOKUP(N574,TD!$B$54:$F$58,2,0)," ")</f>
        <v>O230117</v>
      </c>
      <c r="V574" s="179" t="str">
        <f>IFERROR(VLOOKUP(N574,TD!$B$54:$F$58,3,0)," ")</f>
        <v>4599</v>
      </c>
      <c r="W574" s="179">
        <f>IFERROR(VLOOKUP(N574,TD!$B$54:$F$58,4,0)," ")</f>
        <v>20240207</v>
      </c>
      <c r="X574" s="174" t="s">
        <v>182</v>
      </c>
      <c r="Y574" s="167" t="str">
        <f>IFERROR(VLOOKUP(X574,TD!$J$55:$K$68,2,0)," ")</f>
        <v>Servicios para la planeación y sistemas de gestión y comunicación estratégica</v>
      </c>
      <c r="Z574" s="180" t="str">
        <f>CONCATENATE(X574,"-",Y574)</f>
        <v>13-Servicios para la planeación y sistemas de gestión y comunicación estratégica</v>
      </c>
      <c r="AA574" s="174" t="s">
        <v>231</v>
      </c>
      <c r="AB574" s="167" t="str">
        <f>IFERROR(VLOOKUP(AA574,TD!$N$55:$O$70,2,0)," ")</f>
        <v>Documentos de planeación</v>
      </c>
      <c r="AC574" s="180" t="str">
        <f>CONCATENATE(AA574,"_",AB574)</f>
        <v>019_Documentos de planeación</v>
      </c>
      <c r="AD574" s="180" t="str">
        <f>CONCATENATE(Z574," ",AC574)</f>
        <v>13-Servicios para la planeación y sistemas de gestión y comunicación estratégica 019_Documentos de planeación</v>
      </c>
      <c r="AE574" s="179" t="str">
        <f>CONCATENATE(U574,V574,W574,X574,AA574)</f>
        <v>O23011745992024020713019</v>
      </c>
      <c r="AF574" s="167" t="str">
        <f>IFERROR(VLOOKUP(AD574,TD!$J$70:$K$93,2,0)," ")</f>
        <v>PM/0131/0113/45990190207</v>
      </c>
      <c r="AG574" s="114" t="s">
        <v>385</v>
      </c>
      <c r="AH574" s="175" t="s">
        <v>193</v>
      </c>
      <c r="AI574" s="183" t="str">
        <f>CONCATENATE(PAA[[#This Row],[Id Interno]],"-",PAA[[#This Row],[tipo de Contrato (TH talento humano - B/S bienes y/o servicios)]],"-",S574,"-",T574,"-",PAA[[#This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75" spans="2:35" ht="70" x14ac:dyDescent="0.35">
      <c r="B575" s="137">
        <v>20260562</v>
      </c>
      <c r="C575" s="117" t="s">
        <v>766</v>
      </c>
      <c r="D575" s="125" t="s">
        <v>105</v>
      </c>
      <c r="E575" s="125" t="s">
        <v>363</v>
      </c>
      <c r="F575" s="125" t="s">
        <v>144</v>
      </c>
      <c r="G575" s="126" t="s">
        <v>374</v>
      </c>
      <c r="H575" s="132">
        <v>10</v>
      </c>
      <c r="I575" s="132">
        <v>0</v>
      </c>
      <c r="J575" s="127">
        <v>65000000</v>
      </c>
      <c r="K575" s="128" t="s">
        <v>398</v>
      </c>
      <c r="L575" s="176" t="s">
        <v>150</v>
      </c>
      <c r="M575" s="174" t="s">
        <v>401</v>
      </c>
      <c r="N575" s="125" t="s">
        <v>197</v>
      </c>
      <c r="O575" s="156" t="s">
        <v>886</v>
      </c>
      <c r="P575" s="174" t="s">
        <v>348</v>
      </c>
      <c r="Q575" s="129">
        <v>80111600</v>
      </c>
      <c r="R575" s="166" t="s">
        <v>209</v>
      </c>
      <c r="S575" s="174" t="str">
        <f>MID(PAA[[#This Row],[Meta Proyecto de Inversión]],1,4)</f>
        <v>8126</v>
      </c>
      <c r="T575" s="174" t="str">
        <f>MID(PAA[[#This Row],[Meta Proyecto de Inversión]],6,2)</f>
        <v>10</v>
      </c>
      <c r="U575" s="179" t="str">
        <f>IFERROR(VLOOKUP(N575,TD!$B$54:$F$58,2,0)," ")</f>
        <v>O230117</v>
      </c>
      <c r="V575" s="179" t="str">
        <f>IFERROR(VLOOKUP(N575,TD!$B$54:$F$58,3,0)," ")</f>
        <v>4599</v>
      </c>
      <c r="W575" s="179">
        <f>IFERROR(VLOOKUP(N575,TD!$B$54:$F$58,4,0)," ")</f>
        <v>20240207</v>
      </c>
      <c r="X575" s="174" t="s">
        <v>182</v>
      </c>
      <c r="Y575" s="167" t="str">
        <f>IFERROR(VLOOKUP(X575,TD!$J$55:$K$68,2,0)," ")</f>
        <v>Servicios para la planeación y sistemas de gestión y comunicación estratégica</v>
      </c>
      <c r="Z575" s="180" t="str">
        <f>CONCATENATE(X575,"-",Y575)</f>
        <v>13-Servicios para la planeación y sistemas de gestión y comunicación estratégica</v>
      </c>
      <c r="AA575" s="174" t="s">
        <v>231</v>
      </c>
      <c r="AB575" s="167" t="str">
        <f>IFERROR(VLOOKUP(AA575,TD!$N$55:$O$70,2,0)," ")</f>
        <v>Documentos de planeación</v>
      </c>
      <c r="AC575" s="180" t="str">
        <f>CONCATENATE(AA575,"_",AB575)</f>
        <v>019_Documentos de planeación</v>
      </c>
      <c r="AD575" s="180" t="str">
        <f>CONCATENATE(Z575," ",AC575)</f>
        <v>13-Servicios para la planeación y sistemas de gestión y comunicación estratégica 019_Documentos de planeación</v>
      </c>
      <c r="AE575" s="179" t="str">
        <f>CONCATENATE(U575,V575,W575,X575,AA575)</f>
        <v>O23011745992024020713019</v>
      </c>
      <c r="AF575" s="167" t="str">
        <f>IFERROR(VLOOKUP(AD575,TD!$J$70:$K$93,2,0)," ")</f>
        <v>PM/0131/0113/45990190207</v>
      </c>
      <c r="AG575" s="130" t="s">
        <v>385</v>
      </c>
      <c r="AH575" s="181" t="s">
        <v>193</v>
      </c>
      <c r="AI575" s="183" t="str">
        <f>CONCATENATE(PAA[[#This Row],[Id Interno]],"-",PAA[[#This Row],[tipo de Contrato (TH talento humano - B/S bienes y/o servicios)]],"-",S575,"-",T575,"-",PAA[[#This Row],[Objeto de la contratación]])</f>
        <v>20260562-TH-8126-10-Prestación de servicios profesionales para apoyar a la Dirección en la elaboración, diseño y diagramación de piezas requeridas para los planes, programas, proyectos y procedimientos</v>
      </c>
    </row>
    <row r="576" spans="2:35" ht="70" x14ac:dyDescent="0.35">
      <c r="B576" s="137">
        <v>20260563</v>
      </c>
      <c r="C576" s="117" t="s">
        <v>1173</v>
      </c>
      <c r="D576" s="125" t="s">
        <v>105</v>
      </c>
      <c r="E576" s="125" t="s">
        <v>363</v>
      </c>
      <c r="F576" s="125" t="s">
        <v>144</v>
      </c>
      <c r="G576" s="126" t="s">
        <v>379</v>
      </c>
      <c r="H576" s="132">
        <v>4</v>
      </c>
      <c r="I576" s="132">
        <v>0</v>
      </c>
      <c r="J576" s="127">
        <v>20400000</v>
      </c>
      <c r="K576" s="128" t="s">
        <v>398</v>
      </c>
      <c r="L576" s="176" t="s">
        <v>150</v>
      </c>
      <c r="M576" s="174" t="s">
        <v>401</v>
      </c>
      <c r="N576" s="125" t="s">
        <v>197</v>
      </c>
      <c r="O576" s="156" t="s">
        <v>886</v>
      </c>
      <c r="P576" s="174" t="s">
        <v>348</v>
      </c>
      <c r="Q576" s="129">
        <v>80111600</v>
      </c>
      <c r="R576" s="166" t="s">
        <v>209</v>
      </c>
      <c r="S576" s="174" t="str">
        <f>MID(PAA[[#This Row],[Meta Proyecto de Inversión]],1,4)</f>
        <v>8126</v>
      </c>
      <c r="T576" s="174" t="str">
        <f>MID(PAA[[#This Row],[Meta Proyecto de Inversión]],6,2)</f>
        <v>10</v>
      </c>
      <c r="U576" s="179" t="str">
        <f>IFERROR(VLOOKUP(N576,TD!$B$54:$F$58,2,0)," ")</f>
        <v>O230117</v>
      </c>
      <c r="V576" s="179" t="str">
        <f>IFERROR(VLOOKUP(N576,TD!$B$54:$F$58,3,0)," ")</f>
        <v>4599</v>
      </c>
      <c r="W576" s="179">
        <f>IFERROR(VLOOKUP(N576,TD!$B$54:$F$58,4,0)," ")</f>
        <v>20240207</v>
      </c>
      <c r="X576" s="174" t="s">
        <v>182</v>
      </c>
      <c r="Y576" s="167" t="str">
        <f>IFERROR(VLOOKUP(X576,TD!$J$55:$K$68,2,0)," ")</f>
        <v>Servicios para la planeación y sistemas de gestión y comunicación estratégica</v>
      </c>
      <c r="Z576" s="180" t="str">
        <f>CONCATENATE(X576,"-",Y576)</f>
        <v>13-Servicios para la planeación y sistemas de gestión y comunicación estratégica</v>
      </c>
      <c r="AA576" s="174" t="s">
        <v>231</v>
      </c>
      <c r="AB576" s="167" t="str">
        <f>IFERROR(VLOOKUP(AA576,TD!$N$55:$O$70,2,0)," ")</f>
        <v>Documentos de planeación</v>
      </c>
      <c r="AC576" s="180" t="str">
        <f>CONCATENATE(AA576,"_",AB576)</f>
        <v>019_Documentos de planeación</v>
      </c>
      <c r="AD576" s="180" t="str">
        <f>CONCATENATE(Z576," ",AC576)</f>
        <v>13-Servicios para la planeación y sistemas de gestión y comunicación estratégica 019_Documentos de planeación</v>
      </c>
      <c r="AE576" s="179" t="str">
        <f>CONCATENATE(U576,V576,W576,X576,AA576)</f>
        <v>O23011745992024020713019</v>
      </c>
      <c r="AF576" s="167" t="str">
        <f>IFERROR(VLOOKUP(AD576,TD!$J$70:$K$93,2,0)," ")</f>
        <v>PM/0131/0113/45990190207</v>
      </c>
      <c r="AG576" s="130" t="s">
        <v>385</v>
      </c>
      <c r="AH576" s="181" t="s">
        <v>193</v>
      </c>
      <c r="AI576" s="183" t="str">
        <f>CONCATENATE(PAA[[#This Row],[Id Interno]],"-",PAA[[#This Row],[tipo de Contrato (TH talento humano - B/S bienes y/o servicios)]],"-",S576,"-",T576,"-",PAA[[#This Row],[Objeto de la contratación]])</f>
        <v>20260563-TH-8126-10-Prestar servicios profesionales en la Dirección, en asuntos de comunicaciones y prensa, para la producción, diseño y edición de material audiovisual de la UAECOB.</v>
      </c>
    </row>
    <row r="577" spans="2:35" ht="70" x14ac:dyDescent="0.35">
      <c r="B577" s="137">
        <v>20260564</v>
      </c>
      <c r="C577" s="117" t="s">
        <v>767</v>
      </c>
      <c r="D577" s="125" t="s">
        <v>105</v>
      </c>
      <c r="E577" s="125" t="s">
        <v>363</v>
      </c>
      <c r="F577" s="125" t="s">
        <v>144</v>
      </c>
      <c r="G577" s="126" t="s">
        <v>374</v>
      </c>
      <c r="H577" s="132">
        <v>10</v>
      </c>
      <c r="I577" s="132">
        <v>0</v>
      </c>
      <c r="J577" s="127">
        <v>100000000</v>
      </c>
      <c r="K577" s="128" t="s">
        <v>398</v>
      </c>
      <c r="L577" s="176" t="s">
        <v>150</v>
      </c>
      <c r="M577" s="174" t="s">
        <v>401</v>
      </c>
      <c r="N577" s="125" t="s">
        <v>197</v>
      </c>
      <c r="O577" s="156" t="s">
        <v>886</v>
      </c>
      <c r="P577" s="174" t="s">
        <v>348</v>
      </c>
      <c r="Q577" s="129">
        <v>80111600</v>
      </c>
      <c r="R577" s="174" t="s">
        <v>209</v>
      </c>
      <c r="S577" s="174" t="str">
        <f>MID(PAA[[#This Row],[Meta Proyecto de Inversión]],1,4)</f>
        <v>8126</v>
      </c>
      <c r="T577" s="174" t="str">
        <f>MID(PAA[[#This Row],[Meta Proyecto de Inversión]],6,2)</f>
        <v>10</v>
      </c>
      <c r="U577" s="179" t="str">
        <f>IFERROR(VLOOKUP(N577,TD!$B$54:$F$58,2,0)," ")</f>
        <v>O230117</v>
      </c>
      <c r="V577" s="179" t="str">
        <f>IFERROR(VLOOKUP(N577,TD!$B$54:$F$58,3,0)," ")</f>
        <v>4599</v>
      </c>
      <c r="W577" s="179">
        <f>IFERROR(VLOOKUP(N577,TD!$B$54:$F$58,4,0)," ")</f>
        <v>20240207</v>
      </c>
      <c r="X577" s="166" t="s">
        <v>182</v>
      </c>
      <c r="Y577" s="167" t="str">
        <f>IFERROR(VLOOKUP(X577,TD!$J$55:$K$68,2,0)," ")</f>
        <v>Servicios para la planeación y sistemas de gestión y comunicación estratégica</v>
      </c>
      <c r="Z577" s="180" t="str">
        <f>CONCATENATE(X577,"-",Y577)</f>
        <v>13-Servicios para la planeación y sistemas de gestión y comunicación estratégica</v>
      </c>
      <c r="AA577" s="166" t="s">
        <v>231</v>
      </c>
      <c r="AB577" s="167" t="str">
        <f>IFERROR(VLOOKUP(AA577,TD!$N$55:$O$70,2,0)," ")</f>
        <v>Documentos de planeación</v>
      </c>
      <c r="AC577" s="180" t="str">
        <f>CONCATENATE(AA577,"_",AB577)</f>
        <v>019_Documentos de planeación</v>
      </c>
      <c r="AD577" s="180" t="str">
        <f>CONCATENATE(Z577," ",AC577)</f>
        <v>13-Servicios para la planeación y sistemas de gestión y comunicación estratégica 019_Documentos de planeación</v>
      </c>
      <c r="AE577" s="179" t="str">
        <f>CONCATENATE(U577,V577,W577,X577,AA577)</f>
        <v>O23011745992024020713019</v>
      </c>
      <c r="AF577" s="167" t="str">
        <f>IFERROR(VLOOKUP(AD577,TD!$J$70:$K$93,2,0)," ")</f>
        <v>PM/0131/0113/45990190207</v>
      </c>
      <c r="AG577" s="114" t="s">
        <v>385</v>
      </c>
      <c r="AH577" s="166" t="s">
        <v>193</v>
      </c>
      <c r="AI577" s="183" t="str">
        <f>CONCATENATE(PAA[[#This Row],[Id Interno]],"-",PAA[[#This Row],[tipo de Contrato (TH talento humano - B/S bienes y/o servicios)]],"-",S577,"-",T577,"-",PAA[[#This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78" spans="2:35" ht="70" x14ac:dyDescent="0.35">
      <c r="B578" s="143">
        <v>20260565</v>
      </c>
      <c r="C578" s="97" t="s">
        <v>768</v>
      </c>
      <c r="D578" s="23" t="s">
        <v>105</v>
      </c>
      <c r="E578" s="23" t="s">
        <v>363</v>
      </c>
      <c r="F578" s="23" t="s">
        <v>144</v>
      </c>
      <c r="G578" s="124" t="s">
        <v>374</v>
      </c>
      <c r="H578" s="131">
        <v>10</v>
      </c>
      <c r="I578" s="131">
        <v>0</v>
      </c>
      <c r="J578" s="122">
        <v>54000000</v>
      </c>
      <c r="K578" s="88" t="s">
        <v>398</v>
      </c>
      <c r="L578" s="163" t="s">
        <v>150</v>
      </c>
      <c r="M578" s="166" t="s">
        <v>401</v>
      </c>
      <c r="N578" s="23" t="s">
        <v>197</v>
      </c>
      <c r="O578" s="144" t="s">
        <v>886</v>
      </c>
      <c r="P578" s="166" t="s">
        <v>348</v>
      </c>
      <c r="Q578" s="53">
        <v>80111600</v>
      </c>
      <c r="R578" s="166" t="s">
        <v>209</v>
      </c>
      <c r="S578" s="166" t="str">
        <f>MID(PAA[[#This Row],[Meta Proyecto de Inversión]],1,4)</f>
        <v>8126</v>
      </c>
      <c r="T578" s="166" t="str">
        <f>MID(PAA[[#This Row],[Meta Proyecto de Inversión]],6,2)</f>
        <v>10</v>
      </c>
      <c r="U578" s="167" t="str">
        <f>IFERROR(VLOOKUP(N578,TD!$B$54:$F$58,2,0)," ")</f>
        <v>O230117</v>
      </c>
      <c r="V578" s="167" t="str">
        <f>IFERROR(VLOOKUP(N578,TD!$B$54:$F$58,3,0)," ")</f>
        <v>4599</v>
      </c>
      <c r="W578" s="167">
        <f>IFERROR(VLOOKUP(N578,TD!$B$54:$F$58,4,0)," ")</f>
        <v>20240207</v>
      </c>
      <c r="X578" s="166" t="s">
        <v>182</v>
      </c>
      <c r="Y578" s="167" t="str">
        <f>IFERROR(VLOOKUP(X578,TD!$J$55:$K$68,2,0)," ")</f>
        <v>Servicios para la planeación y sistemas de gestión y comunicación estratégica</v>
      </c>
      <c r="Z578" s="180" t="str">
        <f>CONCATENATE(X578,"-",Y578)</f>
        <v>13-Servicios para la planeación y sistemas de gestión y comunicación estratégica</v>
      </c>
      <c r="AA578" s="166" t="s">
        <v>231</v>
      </c>
      <c r="AB578" s="167" t="str">
        <f>IFERROR(VLOOKUP(AA578,TD!$N$55:$O$70,2,0)," ")</f>
        <v>Documentos de planeación</v>
      </c>
      <c r="AC578" s="168" t="str">
        <f>CONCATENATE(AA578,"_",AB578)</f>
        <v>019_Documentos de planeación</v>
      </c>
      <c r="AD578" s="168" t="str">
        <f>CONCATENATE(Z578," ",AC578)</f>
        <v>13-Servicios para la planeación y sistemas de gestión y comunicación estratégica 019_Documentos de planeación</v>
      </c>
      <c r="AE578" s="167" t="str">
        <f>CONCATENATE(U578,V578,W578,X578,AA578)</f>
        <v>O23011745992024020713019</v>
      </c>
      <c r="AF578" s="167" t="str">
        <f>IFERROR(VLOOKUP(AD578,TD!$J$70:$K$93,2,0)," ")</f>
        <v>PM/0131/0113/45990190207</v>
      </c>
      <c r="AG578" s="114" t="s">
        <v>385</v>
      </c>
      <c r="AH578" s="175" t="s">
        <v>193</v>
      </c>
      <c r="AI578" s="169" t="str">
        <f>CONCATENATE(PAA[[#This Row],[Id Interno]],"-",PAA[[#This Row],[tipo de Contrato (TH talento humano - B/S bienes y/o servicios)]],"-",S578,"-",T578,"-",PAA[[#This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79" spans="2:35" ht="70" x14ac:dyDescent="0.35">
      <c r="B579" s="137">
        <v>20260566</v>
      </c>
      <c r="C579" s="117" t="s">
        <v>839</v>
      </c>
      <c r="D579" s="125" t="s">
        <v>105</v>
      </c>
      <c r="E579" s="125" t="s">
        <v>363</v>
      </c>
      <c r="F579" s="125" t="s">
        <v>144</v>
      </c>
      <c r="G579" s="126" t="s">
        <v>374</v>
      </c>
      <c r="H579" s="132">
        <v>10</v>
      </c>
      <c r="I579" s="132">
        <v>0</v>
      </c>
      <c r="J579" s="127">
        <v>54000000</v>
      </c>
      <c r="K579" s="128" t="s">
        <v>398</v>
      </c>
      <c r="L579" s="176" t="s">
        <v>150</v>
      </c>
      <c r="M579" s="174" t="s">
        <v>401</v>
      </c>
      <c r="N579" s="125" t="s">
        <v>197</v>
      </c>
      <c r="O579" s="156" t="s">
        <v>886</v>
      </c>
      <c r="P579" s="174" t="s">
        <v>348</v>
      </c>
      <c r="Q579" s="129">
        <v>80111600</v>
      </c>
      <c r="R579" s="166" t="s">
        <v>209</v>
      </c>
      <c r="S579" s="174" t="str">
        <f>MID(PAA[[#This Row],[Meta Proyecto de Inversión]],1,4)</f>
        <v>8126</v>
      </c>
      <c r="T579" s="174" t="str">
        <f>MID(PAA[[#This Row],[Meta Proyecto de Inversión]],6,2)</f>
        <v>10</v>
      </c>
      <c r="U579" s="179" t="str">
        <f>IFERROR(VLOOKUP(N579,TD!$B$54:$F$58,2,0)," ")</f>
        <v>O230117</v>
      </c>
      <c r="V579" s="179" t="str">
        <f>IFERROR(VLOOKUP(N579,TD!$B$54:$F$58,3,0)," ")</f>
        <v>4599</v>
      </c>
      <c r="W579" s="179">
        <f>IFERROR(VLOOKUP(N579,TD!$B$54:$F$58,4,0)," ")</f>
        <v>20240207</v>
      </c>
      <c r="X579" s="166" t="s">
        <v>182</v>
      </c>
      <c r="Y579" s="167" t="str">
        <f>IFERROR(VLOOKUP(X579,TD!$J$55:$K$68,2,0)," ")</f>
        <v>Servicios para la planeación y sistemas de gestión y comunicación estratégica</v>
      </c>
      <c r="Z579" s="180" t="str">
        <f>CONCATENATE(X579,"-",Y579)</f>
        <v>13-Servicios para la planeación y sistemas de gestión y comunicación estratégica</v>
      </c>
      <c r="AA579" s="166" t="s">
        <v>231</v>
      </c>
      <c r="AB579" s="167" t="str">
        <f>IFERROR(VLOOKUP(AA579,TD!$N$55:$O$70,2,0)," ")</f>
        <v>Documentos de planeación</v>
      </c>
      <c r="AC579" s="180" t="str">
        <f>CONCATENATE(AA579,"_",AB579)</f>
        <v>019_Documentos de planeación</v>
      </c>
      <c r="AD579" s="180" t="str">
        <f>CONCATENATE(Z579," ",AC579)</f>
        <v>13-Servicios para la planeación y sistemas de gestión y comunicación estratégica 019_Documentos de planeación</v>
      </c>
      <c r="AE579" s="179" t="str">
        <f>CONCATENATE(U579,V579,W579,X579,AA579)</f>
        <v>O23011745992024020713019</v>
      </c>
      <c r="AF579" s="167" t="str">
        <f>IFERROR(VLOOKUP(AD579,TD!$J$70:$K$93,2,0)," ")</f>
        <v>PM/0131/0113/45990190207</v>
      </c>
      <c r="AG579" s="114" t="s">
        <v>385</v>
      </c>
      <c r="AH579" s="181" t="s">
        <v>193</v>
      </c>
      <c r="AI579" s="183" t="str">
        <f>CONCATENATE(PAA[[#This Row],[Id Interno]],"-",PAA[[#This Row],[tipo de Contrato (TH talento humano - B/S bienes y/o servicios)]],"-",S579,"-",T579,"-",PAA[[#This Row],[Objeto de la contratación]])</f>
        <v>20260566-TH-8126-10-Prestar servicios profesionales en comunicación y prensa para apoyar la producción y difusión de contenidos periodísticos y audiovisuales de la UAECOB</v>
      </c>
    </row>
    <row r="580" spans="2:35" ht="70" x14ac:dyDescent="0.35">
      <c r="B580" s="137">
        <v>20260567</v>
      </c>
      <c r="C580" s="117" t="s">
        <v>769</v>
      </c>
      <c r="D580" s="125" t="s">
        <v>105</v>
      </c>
      <c r="E580" s="125" t="s">
        <v>363</v>
      </c>
      <c r="F580" s="125" t="s">
        <v>145</v>
      </c>
      <c r="G580" s="126" t="s">
        <v>379</v>
      </c>
      <c r="H580" s="132">
        <v>4</v>
      </c>
      <c r="I580" s="132">
        <v>0</v>
      </c>
      <c r="J580" s="127">
        <v>14800000</v>
      </c>
      <c r="K580" s="128" t="s">
        <v>398</v>
      </c>
      <c r="L580" s="176" t="s">
        <v>150</v>
      </c>
      <c r="M580" s="174" t="s">
        <v>401</v>
      </c>
      <c r="N580" s="125" t="s">
        <v>197</v>
      </c>
      <c r="O580" s="156" t="s">
        <v>886</v>
      </c>
      <c r="P580" s="174" t="s">
        <v>348</v>
      </c>
      <c r="Q580" s="129">
        <v>80111600</v>
      </c>
      <c r="R580" s="174" t="s">
        <v>209</v>
      </c>
      <c r="S580" s="174" t="str">
        <f>MID(PAA[[#This Row],[Meta Proyecto de Inversión]],1,4)</f>
        <v>8126</v>
      </c>
      <c r="T580" s="174" t="str">
        <f>MID(PAA[[#This Row],[Meta Proyecto de Inversión]],6,2)</f>
        <v>10</v>
      </c>
      <c r="U580" s="179" t="str">
        <f>IFERROR(VLOOKUP(N580,TD!$B$54:$F$58,2,0)," ")</f>
        <v>O230117</v>
      </c>
      <c r="V580" s="179" t="str">
        <f>IFERROR(VLOOKUP(N580,TD!$B$54:$F$58,3,0)," ")</f>
        <v>4599</v>
      </c>
      <c r="W580" s="179">
        <f>IFERROR(VLOOKUP(N580,TD!$B$54:$F$58,4,0)," ")</f>
        <v>20240207</v>
      </c>
      <c r="X580" s="166" t="s">
        <v>182</v>
      </c>
      <c r="Y580" s="167" t="str">
        <f>IFERROR(VLOOKUP(X580,TD!$J$55:$K$68,2,0)," ")</f>
        <v>Servicios para la planeación y sistemas de gestión y comunicación estratégica</v>
      </c>
      <c r="Z580" s="180" t="str">
        <f>CONCATENATE(X580,"-",Y580)</f>
        <v>13-Servicios para la planeación y sistemas de gestión y comunicación estratégica</v>
      </c>
      <c r="AA580" s="166" t="s">
        <v>231</v>
      </c>
      <c r="AB580" s="167" t="str">
        <f>IFERROR(VLOOKUP(AA580,TD!$N$55:$O$70,2,0)," ")</f>
        <v>Documentos de planeación</v>
      </c>
      <c r="AC580" s="180" t="str">
        <f>CONCATENATE(AA580,"_",AB580)</f>
        <v>019_Documentos de planeación</v>
      </c>
      <c r="AD580" s="180" t="str">
        <f>CONCATENATE(Z580," ",AC580)</f>
        <v>13-Servicios para la planeación y sistemas de gestión y comunicación estratégica 019_Documentos de planeación</v>
      </c>
      <c r="AE580" s="179" t="str">
        <f>CONCATENATE(U580,V580,W580,X580,AA580)</f>
        <v>O23011745992024020713019</v>
      </c>
      <c r="AF580" s="167" t="str">
        <f>IFERROR(VLOOKUP(AD580,TD!$J$70:$K$93,2,0)," ")</f>
        <v>PM/0131/0113/45990190207</v>
      </c>
      <c r="AG580" s="130" t="s">
        <v>385</v>
      </c>
      <c r="AH580" s="181" t="s">
        <v>193</v>
      </c>
      <c r="AI580" s="183" t="str">
        <f>CONCATENATE(PAA[[#This Row],[Id Interno]],"-",PAA[[#This Row],[tipo de Contrato (TH talento humano - B/S bienes y/o servicios)]],"-",S580,"-",T580,"-",PAA[[#This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81" spans="2:35" ht="70" x14ac:dyDescent="0.35">
      <c r="B581" s="137">
        <v>20260570</v>
      </c>
      <c r="C581" s="117" t="s">
        <v>850</v>
      </c>
      <c r="D581" s="125" t="s">
        <v>105</v>
      </c>
      <c r="E581" s="125" t="s">
        <v>363</v>
      </c>
      <c r="F581" s="125" t="s">
        <v>144</v>
      </c>
      <c r="G581" s="126" t="s">
        <v>374</v>
      </c>
      <c r="H581" s="132">
        <v>6</v>
      </c>
      <c r="I581" s="132">
        <v>0</v>
      </c>
      <c r="J581" s="127">
        <v>55200000</v>
      </c>
      <c r="K581" s="128" t="s">
        <v>398</v>
      </c>
      <c r="L581" s="176" t="s">
        <v>150</v>
      </c>
      <c r="M581" s="174" t="s">
        <v>401</v>
      </c>
      <c r="N581" s="125" t="s">
        <v>197</v>
      </c>
      <c r="O581" s="156" t="s">
        <v>886</v>
      </c>
      <c r="P581" s="174" t="s">
        <v>348</v>
      </c>
      <c r="Q581" s="129">
        <v>80111600</v>
      </c>
      <c r="R581" s="174" t="s">
        <v>209</v>
      </c>
      <c r="S581" s="174" t="str">
        <f>MID(PAA[[#This Row],[Meta Proyecto de Inversión]],1,4)</f>
        <v>8126</v>
      </c>
      <c r="T581" s="174" t="str">
        <f>MID(PAA[[#This Row],[Meta Proyecto de Inversión]],6,2)</f>
        <v>10</v>
      </c>
      <c r="U581" s="179" t="str">
        <f>IFERROR(VLOOKUP(N581,TD!$B$54:$F$58,2,0)," ")</f>
        <v>O230117</v>
      </c>
      <c r="V581" s="179" t="str">
        <f>IFERROR(VLOOKUP(N581,TD!$B$54:$F$58,3,0)," ")</f>
        <v>4599</v>
      </c>
      <c r="W581" s="179">
        <f>IFERROR(VLOOKUP(N581,TD!$B$54:$F$58,4,0)," ")</f>
        <v>20240207</v>
      </c>
      <c r="X581" s="166" t="s">
        <v>182</v>
      </c>
      <c r="Y581" s="167" t="str">
        <f>IFERROR(VLOOKUP(X581,TD!$J$55:$K$68,2,0)," ")</f>
        <v>Servicios para la planeación y sistemas de gestión y comunicación estratégica</v>
      </c>
      <c r="Z581" s="180" t="str">
        <f>CONCATENATE(X581,"-",Y581)</f>
        <v>13-Servicios para la planeación y sistemas de gestión y comunicación estratégica</v>
      </c>
      <c r="AA581" s="166" t="s">
        <v>231</v>
      </c>
      <c r="AB581" s="167" t="str">
        <f>IFERROR(VLOOKUP(AA581,TD!$N$55:$O$70,2,0)," ")</f>
        <v>Documentos de planeación</v>
      </c>
      <c r="AC581" s="180" t="str">
        <f>CONCATENATE(AA581,"_",AB581)</f>
        <v>019_Documentos de planeación</v>
      </c>
      <c r="AD581" s="180" t="str">
        <f>CONCATENATE(Z581," ",AC581)</f>
        <v>13-Servicios para la planeación y sistemas de gestión y comunicación estratégica 019_Documentos de planeación</v>
      </c>
      <c r="AE581" s="179" t="str">
        <f>CONCATENATE(U581,V581,W581,X581,AA581)</f>
        <v>O23011745992024020713019</v>
      </c>
      <c r="AF581" s="167" t="str">
        <f>IFERROR(VLOOKUP(AD581,TD!$J$70:$K$93,2,0)," ")</f>
        <v>PM/0131/0113/45990190207</v>
      </c>
      <c r="AG581" s="130" t="s">
        <v>385</v>
      </c>
      <c r="AH581" s="181" t="s">
        <v>193</v>
      </c>
      <c r="AI581" s="183" t="str">
        <f>CONCATENATE(PAA[[#This Row],[Id Interno]],"-",PAA[[#This Row],[tipo de Contrato (TH talento humano - B/S bienes y/o servicios)]],"-",S581,"-",T581,"-",PAA[[#This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82" spans="2:35" ht="70" x14ac:dyDescent="0.35">
      <c r="B582" s="143">
        <v>20260571</v>
      </c>
      <c r="C582" s="97" t="s">
        <v>770</v>
      </c>
      <c r="D582" s="23" t="s">
        <v>83</v>
      </c>
      <c r="E582" s="23" t="s">
        <v>402</v>
      </c>
      <c r="F582" s="23" t="s">
        <v>143</v>
      </c>
      <c r="G582" s="124" t="s">
        <v>376</v>
      </c>
      <c r="H582" s="131">
        <v>10</v>
      </c>
      <c r="I582" s="131">
        <v>0</v>
      </c>
      <c r="J582" s="122">
        <v>129376354</v>
      </c>
      <c r="K582" s="88" t="s">
        <v>398</v>
      </c>
      <c r="L582" s="163" t="s">
        <v>45</v>
      </c>
      <c r="M582" s="166" t="s">
        <v>401</v>
      </c>
      <c r="N582" s="23" t="s">
        <v>197</v>
      </c>
      <c r="O582" s="144" t="s">
        <v>886</v>
      </c>
      <c r="P582" s="166" t="s">
        <v>348</v>
      </c>
      <c r="Q582" s="53">
        <v>80111600</v>
      </c>
      <c r="R582" s="166" t="s">
        <v>208</v>
      </c>
      <c r="S582" s="166" t="str">
        <f>MID(PAA[[#This Row],[Meta Proyecto de Inversión]],1,4)</f>
        <v>8126</v>
      </c>
      <c r="T582" s="166" t="str">
        <f>MID(PAA[[#This Row],[Meta Proyecto de Inversión]],6,2)</f>
        <v>9-</v>
      </c>
      <c r="U582" s="167" t="str">
        <f>IFERROR(VLOOKUP(N582,TD!$B$54:$F$58,2,0)," ")</f>
        <v>O230117</v>
      </c>
      <c r="V582" s="167" t="str">
        <f>IFERROR(VLOOKUP(N582,TD!$B$54:$F$58,3,0)," ")</f>
        <v>4599</v>
      </c>
      <c r="W582" s="167">
        <f>IFERROR(VLOOKUP(N582,TD!$B$54:$F$58,4,0)," ")</f>
        <v>20240207</v>
      </c>
      <c r="X582" s="166" t="s">
        <v>174</v>
      </c>
      <c r="Y582" s="167" t="str">
        <f>IFERROR(VLOOKUP(X582,TD!$J$55:$K$68,2,0)," ")</f>
        <v>Infraestructura física, mantenimiento y dotación (Sedes construidas, mantenidas reforzadas)</v>
      </c>
      <c r="Z582" s="180" t="str">
        <f>CONCATENATE(X582,"-",Y582)</f>
        <v>08-Infraestructura física, mantenimiento y dotación (Sedes construidas, mantenidas reforzadas)</v>
      </c>
      <c r="AA582" s="166" t="s">
        <v>227</v>
      </c>
      <c r="AB582" s="167" t="str">
        <f>IFERROR(VLOOKUP(AA582,TD!$N$55:$O$70,2,0)," ")</f>
        <v>Sedes mantenidas</v>
      </c>
      <c r="AC582" s="168" t="str">
        <f>CONCATENATE(AA582,"_",AB582)</f>
        <v>016_Sedes mantenidas</v>
      </c>
      <c r="AD582" s="168" t="str">
        <f>CONCATENATE(Z582," ",AC582)</f>
        <v>08-Infraestructura física, mantenimiento y dotación (Sedes construidas, mantenidas reforzadas) 016_Sedes mantenidas</v>
      </c>
      <c r="AE582" s="167" t="str">
        <f>CONCATENATE(U582,V582,W582,X582,AA582)</f>
        <v>O23011745992024020708016</v>
      </c>
      <c r="AF582" s="167" t="str">
        <f>IFERROR(VLOOKUP(AD582,TD!$J$70:$K$93,2,0)," ")</f>
        <v>PM/0131/0108/45990160207</v>
      </c>
      <c r="AG582" s="114" t="s">
        <v>862</v>
      </c>
      <c r="AH582" s="175" t="s">
        <v>193</v>
      </c>
      <c r="AI582" s="169" t="str">
        <f>CONCATENATE(PAA[[#This Row],[Id Interno]],"-",PAA[[#This Row],[tipo de Contrato (TH talento humano - B/S bienes y/o servicios)]],"-",S582,"-",T582,"-",PAA[[#This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583" spans="2:35" ht="70" x14ac:dyDescent="0.35">
      <c r="B583" s="137">
        <v>20260572</v>
      </c>
      <c r="C583" s="117" t="s">
        <v>531</v>
      </c>
      <c r="D583" s="125" t="s">
        <v>105</v>
      </c>
      <c r="E583" s="125" t="s">
        <v>363</v>
      </c>
      <c r="F583" s="125" t="s">
        <v>144</v>
      </c>
      <c r="G583" s="126" t="s">
        <v>373</v>
      </c>
      <c r="H583" s="132">
        <v>6</v>
      </c>
      <c r="I583" s="132">
        <v>0</v>
      </c>
      <c r="J583" s="127">
        <v>30000000</v>
      </c>
      <c r="K583" s="128" t="s">
        <v>398</v>
      </c>
      <c r="L583" s="176" t="s">
        <v>156</v>
      </c>
      <c r="M583" s="174" t="s">
        <v>484</v>
      </c>
      <c r="N583" s="125" t="s">
        <v>198</v>
      </c>
      <c r="O583" s="156" t="s">
        <v>887</v>
      </c>
      <c r="P583" s="174" t="s">
        <v>348</v>
      </c>
      <c r="Q583" s="129">
        <v>80111600</v>
      </c>
      <c r="R583" s="174" t="s">
        <v>214</v>
      </c>
      <c r="S583" s="174" t="str">
        <f>MID(PAA[[#This Row],[Meta Proyecto de Inversión]],1,4)</f>
        <v>8173</v>
      </c>
      <c r="T583" s="174" t="str">
        <f>MID(PAA[[#This Row],[Meta Proyecto de Inversión]],6,2)</f>
        <v>5-</v>
      </c>
      <c r="U583" s="179" t="str">
        <f>IFERROR(VLOOKUP(N583,TD!$B$54:$F$58,2,0)," ")</f>
        <v>O230117</v>
      </c>
      <c r="V583" s="179" t="str">
        <f>IFERROR(VLOOKUP(N583,TD!$B$54:$F$58,3,0)," ")</f>
        <v>4503</v>
      </c>
      <c r="W583" s="179">
        <f>IFERROR(VLOOKUP(N583,TD!$B$54:$F$58,4,0)," ")</f>
        <v>20240255</v>
      </c>
      <c r="X583" s="166">
        <v>16</v>
      </c>
      <c r="Y583" s="167" t="str">
        <f>IFERROR(VLOOKUP(X583,TD!$J$55:$K$68,2,0)," ")</f>
        <v>Servicio de monitoreo y seguimiento para la gestión del riesgo</v>
      </c>
      <c r="Z583" s="180" t="str">
        <f>CONCATENATE(X583,"-",Y583)</f>
        <v>16-Servicio de monitoreo y seguimiento para la gestión del riesgo</v>
      </c>
      <c r="AA583" s="166" t="s">
        <v>224</v>
      </c>
      <c r="AB583" s="167" t="str">
        <f>IFERROR(VLOOKUP(AA583,TD!$N$55:$O$70,2,0)," ")</f>
        <v>Servicio de monitoreo y seguimiento para la gestión del riesgo</v>
      </c>
      <c r="AC583" s="180" t="str">
        <f>CONCATENATE(AA583,"_",AB583)</f>
        <v>018_Servicio de monitoreo y seguimiento para la gestión del riesgo</v>
      </c>
      <c r="AD583" s="180" t="str">
        <f>CONCATENATE(Z583," ",AC583)</f>
        <v>16-Servicio de monitoreo y seguimiento para la gestión del riesgo 018_Servicio de monitoreo y seguimiento para la gestión del riesgo</v>
      </c>
      <c r="AE583" s="179" t="str">
        <f>CONCATENATE(U583,V583,W583,X583,AA583)</f>
        <v>O23011745032024025516018</v>
      </c>
      <c r="AF583" s="167" t="str">
        <f>IFERROR(VLOOKUP(AD583,TD!$J$70:$K$93,2,0)," ")</f>
        <v>PM/0131/0116/45030180255</v>
      </c>
      <c r="AG583" s="114" t="s">
        <v>385</v>
      </c>
      <c r="AH583" s="181" t="s">
        <v>193</v>
      </c>
      <c r="AI583" s="183" t="str">
        <f>CONCATENATE(PAA[[#This Row],[Id Interno]],"-",PAA[[#This Row],[tipo de Contrato (TH talento humano - B/S bienes y/o servicios)]],"-",S583,"-",T583,"-",PAA[[#This Row],[Objeto de la contratación]])</f>
        <v>20260572-TH-8173-5--Prestar  servicios profesionales  en las actividades de proyeccion e innovacion para la Subdirección de Gestión del Riesgo._SGR</v>
      </c>
    </row>
    <row r="584" spans="2:35" ht="42" x14ac:dyDescent="0.35">
      <c r="B584" s="137">
        <v>20260573</v>
      </c>
      <c r="C584" s="117" t="s">
        <v>531</v>
      </c>
      <c r="D584" s="125" t="s">
        <v>105</v>
      </c>
      <c r="E584" s="125" t="s">
        <v>363</v>
      </c>
      <c r="F584" s="125" t="s">
        <v>144</v>
      </c>
      <c r="G584" s="126" t="s">
        <v>373</v>
      </c>
      <c r="H584" s="132">
        <v>6</v>
      </c>
      <c r="I584" s="132">
        <v>0</v>
      </c>
      <c r="J584" s="127">
        <v>36000000</v>
      </c>
      <c r="K584" s="128" t="s">
        <v>398</v>
      </c>
      <c r="L584" s="176" t="s">
        <v>156</v>
      </c>
      <c r="M584" s="174" t="s">
        <v>484</v>
      </c>
      <c r="N584" s="125" t="s">
        <v>198</v>
      </c>
      <c r="O584" s="156" t="s">
        <v>887</v>
      </c>
      <c r="P584" s="174" t="s">
        <v>348</v>
      </c>
      <c r="Q584" s="129">
        <v>80111600</v>
      </c>
      <c r="R584" s="174" t="s">
        <v>214</v>
      </c>
      <c r="S584" s="174" t="str">
        <f>MID(PAA[[#This Row],[Meta Proyecto de Inversión]],1,4)</f>
        <v>8173</v>
      </c>
      <c r="T584" s="174" t="str">
        <f>MID(PAA[[#This Row],[Meta Proyecto de Inversión]],6,2)</f>
        <v>5-</v>
      </c>
      <c r="U584" s="179" t="str">
        <f>IFERROR(VLOOKUP(N584,TD!$B$54:$F$58,2,0)," ")</f>
        <v>O230117</v>
      </c>
      <c r="V584" s="179" t="str">
        <f>IFERROR(VLOOKUP(N584,TD!$B$54:$F$58,3,0)," ")</f>
        <v>4503</v>
      </c>
      <c r="W584" s="179">
        <f>IFERROR(VLOOKUP(N584,TD!$B$54:$F$58,4,0)," ")</f>
        <v>20240255</v>
      </c>
      <c r="X584" s="166">
        <v>16</v>
      </c>
      <c r="Y584" s="167" t="str">
        <f>IFERROR(VLOOKUP(X584,TD!$J$55:$K$68,2,0)," ")</f>
        <v>Servicio de monitoreo y seguimiento para la gestión del riesgo</v>
      </c>
      <c r="Z584" s="180" t="str">
        <f>CONCATENATE(X584,"-",Y584)</f>
        <v>16-Servicio de monitoreo y seguimiento para la gestión del riesgo</v>
      </c>
      <c r="AA584" s="166" t="s">
        <v>224</v>
      </c>
      <c r="AB584" s="167" t="str">
        <f>IFERROR(VLOOKUP(AA584,TD!$N$55:$O$70,2,0)," ")</f>
        <v>Servicio de monitoreo y seguimiento para la gestión del riesgo</v>
      </c>
      <c r="AC584" s="180" t="str">
        <f>CONCATENATE(AA584,"_",AB584)</f>
        <v>018_Servicio de monitoreo y seguimiento para la gestión del riesgo</v>
      </c>
      <c r="AD584" s="180" t="str">
        <f>CONCATENATE(Z584," ",AC584)</f>
        <v>16-Servicio de monitoreo y seguimiento para la gestión del riesgo 018_Servicio de monitoreo y seguimiento para la gestión del riesgo</v>
      </c>
      <c r="AE584" s="179" t="str">
        <f>CONCATENATE(U584,V584,W584,X584,AA584)</f>
        <v>O23011745032024025516018</v>
      </c>
      <c r="AF584" s="167" t="str">
        <f>IFERROR(VLOOKUP(AD584,TD!$J$70:$K$93,2,0)," ")</f>
        <v>PM/0131/0116/45030180255</v>
      </c>
      <c r="AG584" s="114" t="s">
        <v>385</v>
      </c>
      <c r="AH584" s="181" t="s">
        <v>193</v>
      </c>
      <c r="AI584" s="183" t="str">
        <f>CONCATENATE(PAA[[#This Row],[Id Interno]],"-",PAA[[#This Row],[tipo de Contrato (TH talento humano - B/S bienes y/o servicios)]],"-",S584,"-",T584,"-",PAA[[#This Row],[Objeto de la contratación]])</f>
        <v>20260573-TH-8173-5--Prestar  servicios profesionales  en las actividades de proyeccion e innovacion para la Subdirección de Gestión del Riesgo._SGR</v>
      </c>
    </row>
    <row r="585" spans="2:35" ht="42" x14ac:dyDescent="0.35">
      <c r="B585" s="137">
        <v>20260574</v>
      </c>
      <c r="C585" s="117" t="s">
        <v>531</v>
      </c>
      <c r="D585" s="125" t="s">
        <v>105</v>
      </c>
      <c r="E585" s="125" t="s">
        <v>363</v>
      </c>
      <c r="F585" s="125" t="s">
        <v>144</v>
      </c>
      <c r="G585" s="126" t="s">
        <v>373</v>
      </c>
      <c r="H585" s="132">
        <v>6</v>
      </c>
      <c r="I585" s="132">
        <v>0</v>
      </c>
      <c r="J585" s="127">
        <v>54600000</v>
      </c>
      <c r="K585" s="128" t="s">
        <v>398</v>
      </c>
      <c r="L585" s="176" t="s">
        <v>156</v>
      </c>
      <c r="M585" s="174" t="s">
        <v>484</v>
      </c>
      <c r="N585" s="125" t="s">
        <v>198</v>
      </c>
      <c r="O585" s="156" t="s">
        <v>887</v>
      </c>
      <c r="P585" s="174" t="s">
        <v>348</v>
      </c>
      <c r="Q585" s="129">
        <v>80111600</v>
      </c>
      <c r="R585" s="174" t="s">
        <v>214</v>
      </c>
      <c r="S585" s="174" t="str">
        <f>MID(PAA[[#This Row],[Meta Proyecto de Inversión]],1,4)</f>
        <v>8173</v>
      </c>
      <c r="T585" s="174" t="str">
        <f>MID(PAA[[#This Row],[Meta Proyecto de Inversión]],6,2)</f>
        <v>5-</v>
      </c>
      <c r="U585" s="179" t="str">
        <f>IFERROR(VLOOKUP(N585,TD!$B$54:$F$58,2,0)," ")</f>
        <v>O230117</v>
      </c>
      <c r="V585" s="179" t="str">
        <f>IFERROR(VLOOKUP(N585,TD!$B$54:$F$58,3,0)," ")</f>
        <v>4503</v>
      </c>
      <c r="W585" s="179">
        <f>IFERROR(VLOOKUP(N585,TD!$B$54:$F$58,4,0)," ")</f>
        <v>20240255</v>
      </c>
      <c r="X585" s="166">
        <v>16</v>
      </c>
      <c r="Y585" s="167" t="str">
        <f>IFERROR(VLOOKUP(X585,TD!$J$55:$K$68,2,0)," ")</f>
        <v>Servicio de monitoreo y seguimiento para la gestión del riesgo</v>
      </c>
      <c r="Z585" s="180" t="str">
        <f>CONCATENATE(X585,"-",Y585)</f>
        <v>16-Servicio de monitoreo y seguimiento para la gestión del riesgo</v>
      </c>
      <c r="AA585" s="166" t="s">
        <v>224</v>
      </c>
      <c r="AB585" s="167" t="str">
        <f>IFERROR(VLOOKUP(AA585,TD!$N$55:$O$70,2,0)," ")</f>
        <v>Servicio de monitoreo y seguimiento para la gestión del riesgo</v>
      </c>
      <c r="AC585" s="180" t="str">
        <f>CONCATENATE(AA585,"_",AB585)</f>
        <v>018_Servicio de monitoreo y seguimiento para la gestión del riesgo</v>
      </c>
      <c r="AD585" s="180" t="str">
        <f>CONCATENATE(Z585," ",AC585)</f>
        <v>16-Servicio de monitoreo y seguimiento para la gestión del riesgo 018_Servicio de monitoreo y seguimiento para la gestión del riesgo</v>
      </c>
      <c r="AE585" s="179" t="str">
        <f>CONCATENATE(U585,V585,W585,X585,AA585)</f>
        <v>O23011745032024025516018</v>
      </c>
      <c r="AF585" s="167" t="str">
        <f>IFERROR(VLOOKUP(AD585,TD!$J$70:$K$93,2,0)," ")</f>
        <v>PM/0131/0116/45030180255</v>
      </c>
      <c r="AG585" s="130" t="s">
        <v>385</v>
      </c>
      <c r="AH585" s="181" t="s">
        <v>193</v>
      </c>
      <c r="AI585" s="184" t="str">
        <f>CONCATENATE(PAA[[#This Row],[Id Interno]],"-",PAA[[#This Row],[tipo de Contrato (TH talento humano - B/S bienes y/o servicios)]],"-",S585,"-",T585,"-",PAA[[#This Row],[Objeto de la contratación]])</f>
        <v>20260574-TH-8173-5--Prestar  servicios profesionales  en las actividades de proyeccion e innovacion para la Subdirección de Gestión del Riesgo._SGR</v>
      </c>
    </row>
    <row r="586" spans="2:35" s="56" customFormat="1" ht="42" x14ac:dyDescent="0.35">
      <c r="B586" s="137">
        <v>20260575</v>
      </c>
      <c r="C586" s="117" t="s">
        <v>852</v>
      </c>
      <c r="D586" s="125" t="s">
        <v>105</v>
      </c>
      <c r="E586" s="125" t="s">
        <v>363</v>
      </c>
      <c r="F586" s="125" t="s">
        <v>144</v>
      </c>
      <c r="G586" s="126" t="s">
        <v>373</v>
      </c>
      <c r="H586" s="132">
        <v>8</v>
      </c>
      <c r="I586" s="132">
        <v>0</v>
      </c>
      <c r="J586" s="127">
        <v>56000000</v>
      </c>
      <c r="K586" s="128" t="s">
        <v>398</v>
      </c>
      <c r="L586" s="176" t="s">
        <v>154</v>
      </c>
      <c r="M586" s="174" t="s">
        <v>438</v>
      </c>
      <c r="N586" s="125" t="s">
        <v>198</v>
      </c>
      <c r="O586" s="156" t="s">
        <v>887</v>
      </c>
      <c r="P586" s="174" t="s">
        <v>348</v>
      </c>
      <c r="Q586" s="129">
        <v>80111600</v>
      </c>
      <c r="R586" s="174" t="s">
        <v>218</v>
      </c>
      <c r="S586" s="174" t="str">
        <f>MID(PAA[[#This Row],[Meta Proyecto de Inversión]],1,4)</f>
        <v>8173</v>
      </c>
      <c r="T586" s="174" t="str">
        <f>MID(PAA[[#This Row],[Meta Proyecto de Inversión]],6,2)</f>
        <v>9-</v>
      </c>
      <c r="U586" s="179" t="str">
        <f>IFERROR(VLOOKUP(N586,TD!$B$54:$F$58,2,0)," ")</f>
        <v>O230117</v>
      </c>
      <c r="V586" s="179" t="str">
        <f>IFERROR(VLOOKUP(N586,TD!$B$54:$F$58,3,0)," ")</f>
        <v>4503</v>
      </c>
      <c r="W586" s="179">
        <f>IFERROR(VLOOKUP(N586,TD!$B$54:$F$58,4,0)," ")</f>
        <v>20240255</v>
      </c>
      <c r="X586" s="166" t="s">
        <v>172</v>
      </c>
      <c r="Y586" s="167" t="str">
        <f>IFERROR(VLOOKUP(X586,TD!$J$55:$K$68,2,0)," ")</f>
        <v>Servicio de formación en gestión del riesgo de incendios para el personal UAECOB</v>
      </c>
      <c r="Z586" s="180" t="str">
        <f>CONCATENATE(X586,"-",Y586)</f>
        <v>07-Servicio de formación en gestión del riesgo de incendios para el personal UAECOB</v>
      </c>
      <c r="AA586" s="166" t="s">
        <v>222</v>
      </c>
      <c r="AB586" s="167" t="str">
        <f>IFERROR(VLOOKUP(AA586,TD!$N$55:$O$70,2,0)," ")</f>
        <v>Servicio de educación informal</v>
      </c>
      <c r="AC586" s="180" t="str">
        <f>CONCATENATE(AA586,"_",AB586)</f>
        <v>002_Servicio de educación informal</v>
      </c>
      <c r="AD586" s="180" t="str">
        <f>CONCATENATE(Z586," ",AC586)</f>
        <v>07-Servicio de formación en gestión del riesgo de incendios para el personal UAECOB 002_Servicio de educación informal</v>
      </c>
      <c r="AE586" s="179" t="str">
        <f>CONCATENATE(U586,V586,W586,X586,AA586)</f>
        <v>O23011745032024025507002</v>
      </c>
      <c r="AF586" s="167" t="str">
        <f>IFERROR(VLOOKUP(AD586,TD!$J$70:$K$93,2,0)," ")</f>
        <v>PM/0131/0107/45030020255</v>
      </c>
      <c r="AG586" s="130" t="s">
        <v>385</v>
      </c>
      <c r="AH586" s="181" t="s">
        <v>193</v>
      </c>
      <c r="AI586" s="184" t="str">
        <f>CONCATENATE(PAA[[#This Row],[Id Interno]],"-",PAA[[#This Row],[tipo de Contrato (TH talento humano - B/S bienes y/o servicios)]],"-",S586,"-",T586,"-",PAA[[#This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87" spans="2:35" ht="84" x14ac:dyDescent="0.35">
      <c r="B587" s="137">
        <v>20260576</v>
      </c>
      <c r="C587" s="117" t="s">
        <v>851</v>
      </c>
      <c r="D587" s="125" t="s">
        <v>105</v>
      </c>
      <c r="E587" s="125" t="s">
        <v>363</v>
      </c>
      <c r="F587" s="125" t="s">
        <v>144</v>
      </c>
      <c r="G587" s="126" t="s">
        <v>374</v>
      </c>
      <c r="H587" s="132">
        <v>6</v>
      </c>
      <c r="I587" s="132">
        <v>0</v>
      </c>
      <c r="J587" s="127">
        <v>40800000</v>
      </c>
      <c r="K587" s="128" t="s">
        <v>398</v>
      </c>
      <c r="L587" s="176" t="s">
        <v>150</v>
      </c>
      <c r="M587" s="174" t="s">
        <v>401</v>
      </c>
      <c r="N587" s="125" t="s">
        <v>197</v>
      </c>
      <c r="O587" s="156" t="s">
        <v>886</v>
      </c>
      <c r="P587" s="174" t="s">
        <v>348</v>
      </c>
      <c r="Q587" s="129">
        <v>80111600</v>
      </c>
      <c r="R587" s="174" t="s">
        <v>209</v>
      </c>
      <c r="S587" s="174" t="str">
        <f>MID(PAA[[#This Row],[Meta Proyecto de Inversión]],1,4)</f>
        <v>8126</v>
      </c>
      <c r="T587" s="174" t="str">
        <f>MID(PAA[[#This Row],[Meta Proyecto de Inversión]],6,2)</f>
        <v>10</v>
      </c>
      <c r="U587" s="179" t="str">
        <f>IFERROR(VLOOKUP(N587,TD!$B$54:$F$58,2,0)," ")</f>
        <v>O230117</v>
      </c>
      <c r="V587" s="179" t="str">
        <f>IFERROR(VLOOKUP(N587,TD!$B$54:$F$58,3,0)," ")</f>
        <v>4599</v>
      </c>
      <c r="W587" s="179">
        <f>IFERROR(VLOOKUP(N587,TD!$B$54:$F$58,4,0)," ")</f>
        <v>20240207</v>
      </c>
      <c r="X587" s="166" t="s">
        <v>182</v>
      </c>
      <c r="Y587" s="167" t="str">
        <f>IFERROR(VLOOKUP(X587,TD!$J$55:$K$68,2,0)," ")</f>
        <v>Servicios para la planeación y sistemas de gestión y comunicación estratégica</v>
      </c>
      <c r="Z587" s="180" t="str">
        <f>CONCATENATE(X587,"-",Y587)</f>
        <v>13-Servicios para la planeación y sistemas de gestión y comunicación estratégica</v>
      </c>
      <c r="AA587" s="166" t="s">
        <v>231</v>
      </c>
      <c r="AB587" s="167" t="str">
        <f>IFERROR(VLOOKUP(AA587,TD!$N$55:$O$70,2,0)," ")</f>
        <v>Documentos de planeación</v>
      </c>
      <c r="AC587" s="180" t="str">
        <f>CONCATENATE(AA587,"_",AB587)</f>
        <v>019_Documentos de planeación</v>
      </c>
      <c r="AD587" s="180" t="str">
        <f>CONCATENATE(Z587," ",AC587)</f>
        <v>13-Servicios para la planeación y sistemas de gestión y comunicación estratégica 019_Documentos de planeación</v>
      </c>
      <c r="AE587" s="179" t="str">
        <f>CONCATENATE(U587,V587,W587,X587,AA587)</f>
        <v>O23011745992024020713019</v>
      </c>
      <c r="AF587" s="167" t="str">
        <f>IFERROR(VLOOKUP(AD587,TD!$J$70:$K$93,2,0)," ")</f>
        <v>PM/0131/0113/45990190207</v>
      </c>
      <c r="AG587" s="130" t="s">
        <v>385</v>
      </c>
      <c r="AH587" s="181" t="s">
        <v>193</v>
      </c>
      <c r="AI587" s="184" t="str">
        <f>CONCATENATE(PAA[[#This Row],[Id Interno]],"-",PAA[[#This Row],[tipo de Contrato (TH talento humano - B/S bienes y/o servicios)]],"-",S587,"-",T587,"-",PAA[[#This Row],[Objeto de la contratación]])</f>
        <v>20260576-TH-8126-10-Prestación de servicios profesionales en asuntos de comunicaciones y prensa para detectar las necesidades de la Entidad y facilitar la inserción de nuevas estrategias de comunicación</v>
      </c>
    </row>
    <row r="588" spans="2:35" ht="76.5" customHeight="1" x14ac:dyDescent="0.35">
      <c r="B588" s="137">
        <v>20260577</v>
      </c>
      <c r="C588" s="117" t="s">
        <v>853</v>
      </c>
      <c r="D588" s="125" t="s">
        <v>105</v>
      </c>
      <c r="E588" s="125" t="s">
        <v>363</v>
      </c>
      <c r="F588" s="125" t="s">
        <v>145</v>
      </c>
      <c r="G588" s="126" t="s">
        <v>373</v>
      </c>
      <c r="H588" s="132">
        <v>6</v>
      </c>
      <c r="I588" s="132">
        <v>0</v>
      </c>
      <c r="J588" s="127">
        <v>21600000</v>
      </c>
      <c r="K588" s="128" t="s">
        <v>398</v>
      </c>
      <c r="L588" s="176" t="s">
        <v>157</v>
      </c>
      <c r="M588" s="174" t="s">
        <v>483</v>
      </c>
      <c r="N588" s="125" t="s">
        <v>198</v>
      </c>
      <c r="O588" s="156" t="s">
        <v>887</v>
      </c>
      <c r="P588" s="174" t="s">
        <v>348</v>
      </c>
      <c r="Q588" s="129">
        <v>80111600</v>
      </c>
      <c r="R588" s="174" t="s">
        <v>213</v>
      </c>
      <c r="S588" s="174" t="str">
        <f>MID(PAA[[#This Row],[Meta Proyecto de Inversión]],1,4)</f>
        <v>8173</v>
      </c>
      <c r="T588" s="174" t="str">
        <f>MID(PAA[[#This Row],[Meta Proyecto de Inversión]],6,2)</f>
        <v>4-</v>
      </c>
      <c r="U588" s="179" t="str">
        <f>IFERROR(VLOOKUP(N588,TD!$B$54:$F$58,2,0)," ")</f>
        <v>O230117</v>
      </c>
      <c r="V588" s="179" t="str">
        <f>IFERROR(VLOOKUP(N588,TD!$B$54:$F$58,3,0)," ")</f>
        <v>4503</v>
      </c>
      <c r="W588" s="179">
        <f>IFERROR(VLOOKUP(N588,TD!$B$54:$F$58,4,0)," ")</f>
        <v>20240255</v>
      </c>
      <c r="X588" s="166" t="s">
        <v>176</v>
      </c>
      <c r="Y588" s="167" t="str">
        <f>IFERROR(VLOOKUP(X588,TD!$J$55:$K$68,2,0)," ")</f>
        <v>Servicio de mantenimiento, dotación (HEA´s y equipo menor) y adquisición de vehiculos   especializados para la atención de emergencias.</v>
      </c>
      <c r="Z588" s="180" t="str">
        <f>CONCATENATE(X588,"-",Y588)</f>
        <v>09-Servicio de mantenimiento, dotación (HEA´s y equipo menor) y adquisición de vehiculos   especializados para la atención de emergencias.</v>
      </c>
      <c r="AA588" s="166" t="s">
        <v>221</v>
      </c>
      <c r="AB588" s="167" t="str">
        <f>IFERROR(VLOOKUP(AA588,TD!$N$55:$O$70,2,0)," ")</f>
        <v>Servicio de atención a emergencias y desastres</v>
      </c>
      <c r="AC588" s="180" t="str">
        <f>CONCATENATE(AA588,"_",AB588)</f>
        <v>004_Servicio de atención a emergencias y desastres</v>
      </c>
      <c r="AD588" s="180" t="str">
        <f>CONCATENATE(Z588," ",AC588)</f>
        <v>09-Servicio de mantenimiento, dotación (HEA´s y equipo menor) y adquisición de vehiculos   especializados para la atención de emergencias. 004_Servicio de atención a emergencias y desastres</v>
      </c>
      <c r="AE588" s="179" t="str">
        <f>CONCATENATE(U588,V588,W588,X588,AA588)</f>
        <v>O23011745032024025509004</v>
      </c>
      <c r="AF588" s="167" t="str">
        <f>IFERROR(VLOOKUP(AD588,TD!$J$70:$K$93,2,0)," ")</f>
        <v>PM/0131/0109/45030040255</v>
      </c>
      <c r="AG588" s="130" t="s">
        <v>385</v>
      </c>
      <c r="AH588" s="181" t="s">
        <v>193</v>
      </c>
      <c r="AI588" s="184" t="str">
        <f>CONCATENATE(PAA[[#This Row],[Id Interno]],"-",PAA[[#This Row],[tipo de Contrato (TH talento humano - B/S bienes y/o servicios)]],"-",S588,"-",T588,"-",PAA[[#This Row],[Objeto de la contratación]])</f>
        <v>20260577-TH-8173-4--Prestar servicios de apoyo técnico en las herramientas tecnologicas para el desarrollo de las estrategias de la Subdirección  Logística-SBLG</v>
      </c>
    </row>
    <row r="589" spans="2:35" ht="56" x14ac:dyDescent="0.35">
      <c r="B589" s="137">
        <v>20260578</v>
      </c>
      <c r="C589" s="117" t="s">
        <v>854</v>
      </c>
      <c r="D589" s="125" t="s">
        <v>105</v>
      </c>
      <c r="E589" s="125" t="s">
        <v>363</v>
      </c>
      <c r="F589" s="125" t="s">
        <v>145</v>
      </c>
      <c r="G589" s="126" t="s">
        <v>373</v>
      </c>
      <c r="H589" s="132">
        <v>5</v>
      </c>
      <c r="I589" s="132">
        <v>0</v>
      </c>
      <c r="J589" s="127">
        <v>14000000</v>
      </c>
      <c r="K589" s="128" t="s">
        <v>398</v>
      </c>
      <c r="L589" s="176" t="s">
        <v>157</v>
      </c>
      <c r="M589" s="174" t="s">
        <v>483</v>
      </c>
      <c r="N589" s="125" t="s">
        <v>198</v>
      </c>
      <c r="O589" s="156" t="s">
        <v>887</v>
      </c>
      <c r="P589" s="174" t="s">
        <v>348</v>
      </c>
      <c r="Q589" s="129">
        <v>80111600</v>
      </c>
      <c r="R589" s="174" t="s">
        <v>213</v>
      </c>
      <c r="S589" s="174" t="str">
        <f>MID(PAA[[#This Row],[Meta Proyecto de Inversión]],1,4)</f>
        <v>8173</v>
      </c>
      <c r="T589" s="174" t="str">
        <f>MID(PAA[[#This Row],[Meta Proyecto de Inversión]],6,2)</f>
        <v>4-</v>
      </c>
      <c r="U589" s="179" t="str">
        <f>IFERROR(VLOOKUP(N589,TD!$B$54:$F$58,2,0)," ")</f>
        <v>O230117</v>
      </c>
      <c r="V589" s="179" t="str">
        <f>IFERROR(VLOOKUP(N589,TD!$B$54:$F$58,3,0)," ")</f>
        <v>4503</v>
      </c>
      <c r="W589" s="179">
        <f>IFERROR(VLOOKUP(N589,TD!$B$54:$F$58,4,0)," ")</f>
        <v>20240255</v>
      </c>
      <c r="X589" s="166" t="s">
        <v>176</v>
      </c>
      <c r="Y589" s="167" t="str">
        <f>IFERROR(VLOOKUP(X589,TD!$J$55:$K$68,2,0)," ")</f>
        <v>Servicio de mantenimiento, dotación (HEA´s y equipo menor) y adquisición de vehiculos   especializados para la atención de emergencias.</v>
      </c>
      <c r="Z589" s="180" t="str">
        <f>CONCATENATE(X589,"-",Y589)</f>
        <v>09-Servicio de mantenimiento, dotación (HEA´s y equipo menor) y adquisición de vehiculos   especializados para la atención de emergencias.</v>
      </c>
      <c r="AA589" s="166" t="s">
        <v>221</v>
      </c>
      <c r="AB589" s="167" t="str">
        <f>IFERROR(VLOOKUP(AA589,TD!$N$55:$O$70,2,0)," ")</f>
        <v>Servicio de atención a emergencias y desastres</v>
      </c>
      <c r="AC589" s="180" t="str">
        <f>CONCATENATE(AA589,"_",AB589)</f>
        <v>004_Servicio de atención a emergencias y desastres</v>
      </c>
      <c r="AD589" s="180" t="str">
        <f>CONCATENATE(Z589," ",AC589)</f>
        <v>09-Servicio de mantenimiento, dotación (HEA´s y equipo menor) y adquisición de vehiculos   especializados para la atención de emergencias. 004_Servicio de atención a emergencias y desastres</v>
      </c>
      <c r="AE589" s="179" t="str">
        <f>CONCATENATE(U589,V589,W589,X589,AA589)</f>
        <v>O23011745032024025509004</v>
      </c>
      <c r="AF589" s="167" t="str">
        <f>IFERROR(VLOOKUP(AD589,TD!$J$70:$K$93,2,0)," ")</f>
        <v>PM/0131/0109/45030040255</v>
      </c>
      <c r="AG589" s="130" t="s">
        <v>385</v>
      </c>
      <c r="AH589" s="181" t="s">
        <v>193</v>
      </c>
      <c r="AI589" s="184" t="str">
        <f>CONCATENATE(PAA[[#This Row],[Id Interno]],"-",PAA[[#This Row],[tipo de Contrato (TH talento humano - B/S bienes y/o servicios)]],"-",S589,"-",T589,"-",PAA[[#This Row],[Objeto de la contratación]])</f>
        <v>20260578-TH-8173-4--Prestar servicios de apoyo a la gestión en las actividades de soporte operacional de la UAECOB Subdirección Logística. SBLG</v>
      </c>
    </row>
    <row r="590" spans="2:35" ht="56" x14ac:dyDescent="0.35">
      <c r="B590" s="137">
        <v>20260579</v>
      </c>
      <c r="C590" s="117" t="s">
        <v>855</v>
      </c>
      <c r="D590" s="125" t="s">
        <v>105</v>
      </c>
      <c r="E590" s="125" t="s">
        <v>363</v>
      </c>
      <c r="F590" s="125" t="s">
        <v>145</v>
      </c>
      <c r="G590" s="126" t="s">
        <v>373</v>
      </c>
      <c r="H590" s="132">
        <v>5</v>
      </c>
      <c r="I590" s="132">
        <v>0</v>
      </c>
      <c r="J590" s="127">
        <v>16400000</v>
      </c>
      <c r="K590" s="128" t="s">
        <v>398</v>
      </c>
      <c r="L590" s="176" t="s">
        <v>157</v>
      </c>
      <c r="M590" s="174" t="s">
        <v>483</v>
      </c>
      <c r="N590" s="125" t="s">
        <v>198</v>
      </c>
      <c r="O590" s="156" t="s">
        <v>887</v>
      </c>
      <c r="P590" s="174" t="s">
        <v>348</v>
      </c>
      <c r="Q590" s="129">
        <v>80111600</v>
      </c>
      <c r="R590" s="174" t="s">
        <v>213</v>
      </c>
      <c r="S590" s="174" t="str">
        <f>MID(PAA[[#This Row],[Meta Proyecto de Inversión]],1,4)</f>
        <v>8173</v>
      </c>
      <c r="T590" s="174" t="str">
        <f>MID(PAA[[#This Row],[Meta Proyecto de Inversión]],6,2)</f>
        <v>4-</v>
      </c>
      <c r="U590" s="179" t="str">
        <f>IFERROR(VLOOKUP(N590,TD!$B$54:$F$58,2,0)," ")</f>
        <v>O230117</v>
      </c>
      <c r="V590" s="179" t="str">
        <f>IFERROR(VLOOKUP(N590,TD!$B$54:$F$58,3,0)," ")</f>
        <v>4503</v>
      </c>
      <c r="W590" s="179">
        <f>IFERROR(VLOOKUP(N590,TD!$B$54:$F$58,4,0)," ")</f>
        <v>20240255</v>
      </c>
      <c r="X590" s="166" t="s">
        <v>176</v>
      </c>
      <c r="Y590" s="167" t="str">
        <f>IFERROR(VLOOKUP(X590,TD!$J$55:$K$68,2,0)," ")</f>
        <v>Servicio de mantenimiento, dotación (HEA´s y equipo menor) y adquisición de vehiculos   especializados para la atención de emergencias.</v>
      </c>
      <c r="Z590" s="180" t="str">
        <f>CONCATENATE(X590,"-",Y590)</f>
        <v>09-Servicio de mantenimiento, dotación (HEA´s y equipo menor) y adquisición de vehiculos   especializados para la atención de emergencias.</v>
      </c>
      <c r="AA590" s="166" t="s">
        <v>221</v>
      </c>
      <c r="AB590" s="167" t="str">
        <f>IFERROR(VLOOKUP(AA590,TD!$N$55:$O$70,2,0)," ")</f>
        <v>Servicio de atención a emergencias y desastres</v>
      </c>
      <c r="AC590" s="180" t="str">
        <f>CONCATENATE(AA590,"_",AB590)</f>
        <v>004_Servicio de atención a emergencias y desastres</v>
      </c>
      <c r="AD590" s="180" t="str">
        <f>CONCATENATE(Z590," ",AC590)</f>
        <v>09-Servicio de mantenimiento, dotación (HEA´s y equipo menor) y adquisición de vehiculos   especializados para la atención de emergencias. 004_Servicio de atención a emergencias y desastres</v>
      </c>
      <c r="AE590" s="179" t="str">
        <f>CONCATENATE(U590,V590,W590,X590,AA590)</f>
        <v>O23011745032024025509004</v>
      </c>
      <c r="AF590" s="167" t="str">
        <f>IFERROR(VLOOKUP(AD590,TD!$J$70:$K$93,2,0)," ")</f>
        <v>PM/0131/0109/45030040255</v>
      </c>
      <c r="AG590" s="130" t="s">
        <v>385</v>
      </c>
      <c r="AH590" s="181" t="s">
        <v>193</v>
      </c>
      <c r="AI590" s="184" t="str">
        <f>CONCATENATE(PAA[[#This Row],[Id Interno]],"-",PAA[[#This Row],[tipo de Contrato (TH talento humano - B/S bienes y/o servicios)]],"-",S590,"-",T590,"-",PAA[[#This Row],[Objeto de la contratación]])</f>
        <v>20260579-TH-8173-4--Prestar servicios de apoyo a la gestión en actividades administrativas y documentales que se desarrollen en la Subdirección Logística – SBLG".</v>
      </c>
    </row>
    <row r="591" spans="2:35" ht="56" x14ac:dyDescent="0.35">
      <c r="B591" s="137">
        <v>20260580</v>
      </c>
      <c r="C591" s="117" t="s">
        <v>856</v>
      </c>
      <c r="D591" s="125" t="s">
        <v>105</v>
      </c>
      <c r="E591" s="125" t="s">
        <v>363</v>
      </c>
      <c r="F591" s="125" t="s">
        <v>145</v>
      </c>
      <c r="G591" s="126" t="s">
        <v>373</v>
      </c>
      <c r="H591" s="132">
        <v>6</v>
      </c>
      <c r="I591" s="132">
        <v>0</v>
      </c>
      <c r="J591" s="127">
        <v>18000000</v>
      </c>
      <c r="K591" s="128" t="s">
        <v>398</v>
      </c>
      <c r="L591" s="176" t="s">
        <v>157</v>
      </c>
      <c r="M591" s="174" t="s">
        <v>483</v>
      </c>
      <c r="N591" s="125" t="s">
        <v>198</v>
      </c>
      <c r="O591" s="156" t="s">
        <v>887</v>
      </c>
      <c r="P591" s="174" t="s">
        <v>348</v>
      </c>
      <c r="Q591" s="129">
        <v>80111600</v>
      </c>
      <c r="R591" s="174" t="s">
        <v>213</v>
      </c>
      <c r="S591" s="174" t="str">
        <f>MID(PAA[[#This Row],[Meta Proyecto de Inversión]],1,4)</f>
        <v>8173</v>
      </c>
      <c r="T591" s="174" t="str">
        <f>MID(PAA[[#This Row],[Meta Proyecto de Inversión]],6,2)</f>
        <v>4-</v>
      </c>
      <c r="U591" s="179" t="str">
        <f>IFERROR(VLOOKUP(N591,TD!$B$54:$F$58,2,0)," ")</f>
        <v>O230117</v>
      </c>
      <c r="V591" s="179" t="str">
        <f>IFERROR(VLOOKUP(N591,TD!$B$54:$F$58,3,0)," ")</f>
        <v>4503</v>
      </c>
      <c r="W591" s="179">
        <f>IFERROR(VLOOKUP(N591,TD!$B$54:$F$58,4,0)," ")</f>
        <v>20240255</v>
      </c>
      <c r="X591" s="166" t="s">
        <v>176</v>
      </c>
      <c r="Y591" s="167" t="str">
        <f>IFERROR(VLOOKUP(X591,TD!$J$55:$K$68,2,0)," ")</f>
        <v>Servicio de mantenimiento, dotación (HEA´s y equipo menor) y adquisición de vehiculos   especializados para la atención de emergencias.</v>
      </c>
      <c r="Z591" s="180" t="str">
        <f>CONCATENATE(X591,"-",Y591)</f>
        <v>09-Servicio de mantenimiento, dotación (HEA´s y equipo menor) y adquisición de vehiculos   especializados para la atención de emergencias.</v>
      </c>
      <c r="AA591" s="166" t="s">
        <v>221</v>
      </c>
      <c r="AB591" s="167" t="str">
        <f>IFERROR(VLOOKUP(AA591,TD!$N$55:$O$70,2,0)," ")</f>
        <v>Servicio de atención a emergencias y desastres</v>
      </c>
      <c r="AC591" s="180" t="str">
        <f>CONCATENATE(AA591,"_",AB591)</f>
        <v>004_Servicio de atención a emergencias y desastres</v>
      </c>
      <c r="AD591" s="180" t="str">
        <f>CONCATENATE(Z591," ",AC591)</f>
        <v>09-Servicio de mantenimiento, dotación (HEA´s y equipo menor) y adquisición de vehiculos   especializados para la atención de emergencias. 004_Servicio de atención a emergencias y desastres</v>
      </c>
      <c r="AE591" s="179" t="str">
        <f>CONCATENATE(U591,V591,W591,X591,AA591)</f>
        <v>O23011745032024025509004</v>
      </c>
      <c r="AF591" s="167" t="str">
        <f>IFERROR(VLOOKUP(AD591,TD!$J$70:$K$93,2,0)," ")</f>
        <v>PM/0131/0109/45030040255</v>
      </c>
      <c r="AG591" s="130" t="s">
        <v>385</v>
      </c>
      <c r="AH591" s="181" t="s">
        <v>193</v>
      </c>
      <c r="AI591" s="184" t="str">
        <f>CONCATENATE(PAA[[#This Row],[Id Interno]],"-",PAA[[#This Row],[tipo de Contrato (TH talento humano - B/S bienes y/o servicios)]],"-",S591,"-",T591,"-",PAA[[#This Row],[Objeto de la contratación]])</f>
        <v>20260580-TH-8173-4--Prestación de servicios de apoyo a la gestión para realizar actividades documentales, administrativas relacionadas para el desarrollo de las estrategias de la Subdirección Logística. SBLG</v>
      </c>
    </row>
    <row r="592" spans="2:35" ht="56" x14ac:dyDescent="0.35">
      <c r="B592" s="137">
        <v>20260581</v>
      </c>
      <c r="C592" s="117" t="s">
        <v>857</v>
      </c>
      <c r="D592" s="125" t="s">
        <v>105</v>
      </c>
      <c r="E592" s="125" t="s">
        <v>363</v>
      </c>
      <c r="F592" s="125" t="s">
        <v>145</v>
      </c>
      <c r="G592" s="126" t="s">
        <v>373</v>
      </c>
      <c r="H592" s="132">
        <v>6</v>
      </c>
      <c r="I592" s="132">
        <v>0</v>
      </c>
      <c r="J592" s="127">
        <v>14400000</v>
      </c>
      <c r="K592" s="128" t="s">
        <v>398</v>
      </c>
      <c r="L592" s="176" t="s">
        <v>157</v>
      </c>
      <c r="M592" s="174" t="s">
        <v>483</v>
      </c>
      <c r="N592" s="125" t="s">
        <v>198</v>
      </c>
      <c r="O592" s="156" t="s">
        <v>887</v>
      </c>
      <c r="P592" s="174" t="s">
        <v>348</v>
      </c>
      <c r="Q592" s="129">
        <v>80111600</v>
      </c>
      <c r="R592" s="174" t="s">
        <v>213</v>
      </c>
      <c r="S592" s="174" t="str">
        <f>MID(PAA[[#This Row],[Meta Proyecto de Inversión]],1,4)</f>
        <v>8173</v>
      </c>
      <c r="T592" s="174" t="str">
        <f>MID(PAA[[#This Row],[Meta Proyecto de Inversión]],6,2)</f>
        <v>4-</v>
      </c>
      <c r="U592" s="179" t="str">
        <f>IFERROR(VLOOKUP(N592,TD!$B$54:$F$58,2,0)," ")</f>
        <v>O230117</v>
      </c>
      <c r="V592" s="179" t="str">
        <f>IFERROR(VLOOKUP(N592,TD!$B$54:$F$58,3,0)," ")</f>
        <v>4503</v>
      </c>
      <c r="W592" s="179">
        <f>IFERROR(VLOOKUP(N592,TD!$B$54:$F$58,4,0)," ")</f>
        <v>20240255</v>
      </c>
      <c r="X592" s="166" t="s">
        <v>176</v>
      </c>
      <c r="Y592" s="167" t="str">
        <f>IFERROR(VLOOKUP(X592,TD!$J$55:$K$68,2,0)," ")</f>
        <v>Servicio de mantenimiento, dotación (HEA´s y equipo menor) y adquisición de vehiculos   especializados para la atención de emergencias.</v>
      </c>
      <c r="Z592" s="180" t="str">
        <f>CONCATENATE(X592,"-",Y592)</f>
        <v>09-Servicio de mantenimiento, dotación (HEA´s y equipo menor) y adquisición de vehiculos   especializados para la atención de emergencias.</v>
      </c>
      <c r="AA592" s="166" t="s">
        <v>221</v>
      </c>
      <c r="AB592" s="167" t="str">
        <f>IFERROR(VLOOKUP(AA592,TD!$N$55:$O$70,2,0)," ")</f>
        <v>Servicio de atención a emergencias y desastres</v>
      </c>
      <c r="AC592" s="180" t="str">
        <f>CONCATENATE(AA592,"_",AB592)</f>
        <v>004_Servicio de atención a emergencias y desastres</v>
      </c>
      <c r="AD592" s="180" t="str">
        <f>CONCATENATE(Z592," ",AC592)</f>
        <v>09-Servicio de mantenimiento, dotación (HEA´s y equipo menor) y adquisición de vehiculos   especializados para la atención de emergencias. 004_Servicio de atención a emergencias y desastres</v>
      </c>
      <c r="AE592" s="179" t="str">
        <f>CONCATENATE(U592,V592,W592,X592,AA592)</f>
        <v>O23011745032024025509004</v>
      </c>
      <c r="AF592" s="167" t="str">
        <f>IFERROR(VLOOKUP(AD592,TD!$J$70:$K$93,2,0)," ")</f>
        <v>PM/0131/0109/45030040255</v>
      </c>
      <c r="AG592" s="130" t="s">
        <v>385</v>
      </c>
      <c r="AH592" s="181" t="s">
        <v>193</v>
      </c>
      <c r="AI592" s="184" t="str">
        <f>CONCATENATE(PAA[[#This Row],[Id Interno]],"-",PAA[[#This Row],[tipo de Contrato (TH talento humano - B/S bienes y/o servicios)]],"-",S592,"-",T592,"-",PAA[[#This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93" spans="2:35" ht="56" x14ac:dyDescent="0.35">
      <c r="B593" s="137">
        <v>20260582</v>
      </c>
      <c r="C593" s="117" t="s">
        <v>860</v>
      </c>
      <c r="D593" s="125" t="s">
        <v>105</v>
      </c>
      <c r="E593" s="125" t="s">
        <v>363</v>
      </c>
      <c r="F593" s="125" t="s">
        <v>144</v>
      </c>
      <c r="G593" s="126" t="s">
        <v>373</v>
      </c>
      <c r="H593" s="132">
        <v>6</v>
      </c>
      <c r="I593" s="132">
        <v>0</v>
      </c>
      <c r="J593" s="127">
        <v>33000000</v>
      </c>
      <c r="K593" s="128" t="s">
        <v>398</v>
      </c>
      <c r="L593" s="176" t="s">
        <v>154</v>
      </c>
      <c r="M593" s="174" t="s">
        <v>438</v>
      </c>
      <c r="N593" s="125" t="s">
        <v>198</v>
      </c>
      <c r="O593" s="156" t="s">
        <v>887</v>
      </c>
      <c r="P593" s="174" t="s">
        <v>348</v>
      </c>
      <c r="Q593" s="129">
        <v>80111600</v>
      </c>
      <c r="R593" s="174" t="s">
        <v>218</v>
      </c>
      <c r="S593" s="174" t="str">
        <f>MID(PAA[[#This Row],[Meta Proyecto de Inversión]],1,4)</f>
        <v>8173</v>
      </c>
      <c r="T593" s="174" t="str">
        <f>MID(PAA[[#This Row],[Meta Proyecto de Inversión]],6,2)</f>
        <v>9-</v>
      </c>
      <c r="U593" s="179" t="str">
        <f>IFERROR(VLOOKUP(N593,TD!$B$54:$F$58,2,0)," ")</f>
        <v>O230117</v>
      </c>
      <c r="V593" s="179" t="str">
        <f>IFERROR(VLOOKUP(N593,TD!$B$54:$F$58,3,0)," ")</f>
        <v>4503</v>
      </c>
      <c r="W593" s="179">
        <f>IFERROR(VLOOKUP(N593,TD!$B$54:$F$58,4,0)," ")</f>
        <v>20240255</v>
      </c>
      <c r="X593" s="174" t="s">
        <v>172</v>
      </c>
      <c r="Y593" s="167" t="str">
        <f>IFERROR(VLOOKUP(X593,TD!$J$55:$K$68,2,0)," ")</f>
        <v>Servicio de formación en gestión del riesgo de incendios para el personal UAECOB</v>
      </c>
      <c r="Z593" s="180" t="str">
        <f>CONCATENATE(X593,"-",Y593)</f>
        <v>07-Servicio de formación en gestión del riesgo de incendios para el personal UAECOB</v>
      </c>
      <c r="AA593" s="174" t="s">
        <v>222</v>
      </c>
      <c r="AB593" s="167" t="str">
        <f>IFERROR(VLOOKUP(AA593,TD!$N$55:$O$70,2,0)," ")</f>
        <v>Servicio de educación informal</v>
      </c>
      <c r="AC593" s="180" t="str">
        <f>CONCATENATE(AA593,"_",AB593)</f>
        <v>002_Servicio de educación informal</v>
      </c>
      <c r="AD593" s="180" t="str">
        <f>CONCATENATE(Z593," ",AC593)</f>
        <v>07-Servicio de formación en gestión del riesgo de incendios para el personal UAECOB 002_Servicio de educación informal</v>
      </c>
      <c r="AE593" s="179" t="str">
        <f>CONCATENATE(U593,V593,W593,X593,AA593)</f>
        <v>O23011745032024025507002</v>
      </c>
      <c r="AF593" s="167" t="str">
        <f>IFERROR(VLOOKUP(AD593,TD!$J$70:$K$93,2,0)," ")</f>
        <v>PM/0131/0107/45030020255</v>
      </c>
      <c r="AG593" s="130" t="s">
        <v>385</v>
      </c>
      <c r="AH593" s="181" t="s">
        <v>193</v>
      </c>
      <c r="AI593" s="184" t="str">
        <f>CONCATENATE(PAA[[#This Row],[Id Interno]],"-",PAA[[#This Row],[tipo de Contrato (TH talento humano - B/S bienes y/o servicios)]],"-",S593,"-",T593,"-",PAA[[#This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94" spans="2:35" ht="70" x14ac:dyDescent="0.35">
      <c r="B594" s="137">
        <v>20260583</v>
      </c>
      <c r="C594" s="117" t="s">
        <v>914</v>
      </c>
      <c r="D594" s="125" t="s">
        <v>105</v>
      </c>
      <c r="E594" s="125" t="s">
        <v>363</v>
      </c>
      <c r="F594" s="125" t="s">
        <v>145</v>
      </c>
      <c r="G594" s="126" t="s">
        <v>373</v>
      </c>
      <c r="H594" s="132">
        <v>6</v>
      </c>
      <c r="I594" s="132">
        <v>0</v>
      </c>
      <c r="J594" s="127">
        <v>22140000</v>
      </c>
      <c r="K594" s="128" t="s">
        <v>398</v>
      </c>
      <c r="L594" s="176" t="s">
        <v>154</v>
      </c>
      <c r="M594" s="174" t="s">
        <v>438</v>
      </c>
      <c r="N594" s="125" t="s">
        <v>197</v>
      </c>
      <c r="O594" s="156" t="s">
        <v>886</v>
      </c>
      <c r="P594" s="174" t="s">
        <v>348</v>
      </c>
      <c r="Q594" s="129">
        <v>80111600</v>
      </c>
      <c r="R594" s="174" t="s">
        <v>208</v>
      </c>
      <c r="S594" s="174" t="str">
        <f>MID(PAA[[#This Row],[Meta Proyecto de Inversión]],1,4)</f>
        <v>8126</v>
      </c>
      <c r="T594" s="174" t="str">
        <f>MID(PAA[[#This Row],[Meta Proyecto de Inversión]],6,2)</f>
        <v>9-</v>
      </c>
      <c r="U594" s="179" t="str">
        <f>IFERROR(VLOOKUP(N594,TD!$B$54:$F$58,2,0)," ")</f>
        <v>O230117</v>
      </c>
      <c r="V594" s="179" t="str">
        <f>IFERROR(VLOOKUP(N594,TD!$B$54:$F$58,3,0)," ")</f>
        <v>4599</v>
      </c>
      <c r="W594" s="179">
        <f>IFERROR(VLOOKUP(N594,TD!$B$54:$F$58,4,0)," ")</f>
        <v>20240207</v>
      </c>
      <c r="X594" s="174" t="s">
        <v>174</v>
      </c>
      <c r="Y594" s="167" t="str">
        <f>IFERROR(VLOOKUP(X594,TD!$J$55:$K$68,2,0)," ")</f>
        <v>Infraestructura física, mantenimiento y dotación (Sedes construidas, mantenidas reforzadas)</v>
      </c>
      <c r="Z594" s="180" t="str">
        <f>CONCATENATE(X594,"-",Y594)</f>
        <v>08-Infraestructura física, mantenimiento y dotación (Sedes construidas, mantenidas reforzadas)</v>
      </c>
      <c r="AA594" s="174" t="s">
        <v>227</v>
      </c>
      <c r="AB594" s="167" t="str">
        <f>IFERROR(VLOOKUP(AA594,TD!$N$55:$O$70,2,0)," ")</f>
        <v>Sedes mantenidas</v>
      </c>
      <c r="AC594" s="180" t="str">
        <f>CONCATENATE(AA594,"_",AB594)</f>
        <v>016_Sedes mantenidas</v>
      </c>
      <c r="AD594" s="180" t="str">
        <f>CONCATENATE(Z594," ",AC594)</f>
        <v>08-Infraestructura física, mantenimiento y dotación (Sedes construidas, mantenidas reforzadas) 016_Sedes mantenidas</v>
      </c>
      <c r="AE594" s="179" t="str">
        <f>CONCATENATE(U594,V594,W594,X594,AA594)</f>
        <v>O23011745992024020708016</v>
      </c>
      <c r="AF594" s="167" t="str">
        <f>IFERROR(VLOOKUP(AD594,TD!$J$70:$K$93,2,0)," ")</f>
        <v>PM/0131/0108/45990160207</v>
      </c>
      <c r="AG594" s="130" t="s">
        <v>385</v>
      </c>
      <c r="AH594" s="181" t="s">
        <v>193</v>
      </c>
      <c r="AI594" s="184" t="str">
        <f>CONCATENATE(PAA[[#This Row],[Id Interno]],"-",PAA[[#This Row],[tipo de Contrato (TH talento humano - B/S bienes y/o servicios)]],"-",S594,"-",T594,"-",PAA[[#This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595" spans="2:35" ht="98" x14ac:dyDescent="0.35">
      <c r="B595" s="137">
        <v>20260584</v>
      </c>
      <c r="C595" s="117" t="s">
        <v>812</v>
      </c>
      <c r="D595" s="125" t="s">
        <v>105</v>
      </c>
      <c r="E595" s="125" t="s">
        <v>363</v>
      </c>
      <c r="F595" s="125" t="s">
        <v>145</v>
      </c>
      <c r="G595" s="126" t="s">
        <v>373</v>
      </c>
      <c r="H595" s="132">
        <v>7</v>
      </c>
      <c r="I595" s="132">
        <v>0</v>
      </c>
      <c r="J595" s="127">
        <v>21700000</v>
      </c>
      <c r="K595" s="128" t="s">
        <v>398</v>
      </c>
      <c r="L595" s="176" t="s">
        <v>158</v>
      </c>
      <c r="M595" s="174" t="s">
        <v>421</v>
      </c>
      <c r="N595" s="125" t="s">
        <v>198</v>
      </c>
      <c r="O595" s="156" t="s">
        <v>887</v>
      </c>
      <c r="P595" s="174" t="s">
        <v>348</v>
      </c>
      <c r="Q595" s="129">
        <v>80111600</v>
      </c>
      <c r="R595" s="174" t="s">
        <v>211</v>
      </c>
      <c r="S595" s="174" t="str">
        <f>MID(PAA[[#This Row],[Meta Proyecto de Inversión]],1,4)</f>
        <v>8173</v>
      </c>
      <c r="T595" s="174" t="str">
        <f>MID(PAA[[#This Row],[Meta Proyecto de Inversión]],6,2)</f>
        <v>2-</v>
      </c>
      <c r="U595" s="179" t="str">
        <f>IFERROR(VLOOKUP(N595,TD!$B$54:$F$58,2,0)," ")</f>
        <v>O230117</v>
      </c>
      <c r="V595" s="179" t="str">
        <f>IFERROR(VLOOKUP(N595,TD!$B$54:$F$58,3,0)," ")</f>
        <v>4503</v>
      </c>
      <c r="W595" s="179">
        <f>IFERROR(VLOOKUP(N595,TD!$B$54:$F$58,4,0)," ")</f>
        <v>20240255</v>
      </c>
      <c r="X595" s="174" t="s">
        <v>164</v>
      </c>
      <c r="Y595" s="167" t="str">
        <f>IFERROR(VLOOKUP(X595,TD!$J$55:$K$68,2,0)," ")</f>
        <v>Servicio de atención a incidentes y emergencias.</v>
      </c>
      <c r="Z595" s="180" t="str">
        <f>CONCATENATE(X595,"-",Y595)</f>
        <v>04-Servicio de atención a incidentes y emergencias.</v>
      </c>
      <c r="AA595" s="174" t="s">
        <v>221</v>
      </c>
      <c r="AB595" s="167" t="str">
        <f>IFERROR(VLOOKUP(AA595,TD!$N$55:$O$70,2,0)," ")</f>
        <v>Servicio de atención a emergencias y desastres</v>
      </c>
      <c r="AC595" s="180" t="str">
        <f>CONCATENATE(AA595,"_",AB595)</f>
        <v>004_Servicio de atención a emergencias y desastres</v>
      </c>
      <c r="AD595" s="180" t="str">
        <f>CONCATENATE(Z595," ",AC595)</f>
        <v>04-Servicio de atención a incidentes y emergencias. 004_Servicio de atención a emergencias y desastres</v>
      </c>
      <c r="AE595" s="179" t="str">
        <f>CONCATENATE(U595,V595,W595,X595,AA595)</f>
        <v>O23011745032024025504004</v>
      </c>
      <c r="AF595" s="167" t="str">
        <f>IFERROR(VLOOKUP(AD595,TD!$J$70:$K$93,2,0)," ")</f>
        <v>PM/0131/0104/45030040255</v>
      </c>
      <c r="AG595" s="130" t="s">
        <v>385</v>
      </c>
      <c r="AH595" s="181" t="s">
        <v>193</v>
      </c>
      <c r="AI595" s="184" t="str">
        <f>CONCATENATE(PAA[[#This Row],[Id Interno]],"-",PAA[[#This Row],[tipo de Contrato (TH talento humano - B/S bienes y/o servicios)]],"-",S595,"-",T595,"-",PAA[[#This Row],[Objeto de la contratación]])</f>
        <v>20260584-TH-8173-2--Prestación de servicios de apoyo al proceso de comunicaciones en emergencias del centro de coordinación y comunicaciones (c.c.c.), para el desarrollo de los programas a cargo de la Subdirección Operativa-S.O.</v>
      </c>
    </row>
    <row r="596" spans="2:35" ht="56" x14ac:dyDescent="0.35">
      <c r="B596" s="146">
        <v>20260585</v>
      </c>
      <c r="C596" s="117" t="s">
        <v>861</v>
      </c>
      <c r="D596" s="125" t="s">
        <v>105</v>
      </c>
      <c r="E596" s="125" t="s">
        <v>363</v>
      </c>
      <c r="F596" s="125" t="s">
        <v>144</v>
      </c>
      <c r="G596" s="126" t="s">
        <v>373</v>
      </c>
      <c r="H596" s="132">
        <v>11</v>
      </c>
      <c r="I596" s="132">
        <v>0</v>
      </c>
      <c r="J596" s="127">
        <v>60000000</v>
      </c>
      <c r="K596" s="128" t="s">
        <v>398</v>
      </c>
      <c r="L596" s="176" t="s">
        <v>158</v>
      </c>
      <c r="M596" s="174" t="s">
        <v>421</v>
      </c>
      <c r="N596" s="125" t="s">
        <v>198</v>
      </c>
      <c r="O596" s="156" t="s">
        <v>887</v>
      </c>
      <c r="P596" s="174" t="s">
        <v>348</v>
      </c>
      <c r="Q596" s="129">
        <v>80111600</v>
      </c>
      <c r="R596" s="174" t="s">
        <v>211</v>
      </c>
      <c r="S596" s="174" t="str">
        <f>MID(PAA[[#This Row],[Meta Proyecto de Inversión]],1,4)</f>
        <v>8173</v>
      </c>
      <c r="T596" s="174" t="str">
        <f>MID(PAA[[#This Row],[Meta Proyecto de Inversión]],6,2)</f>
        <v>2-</v>
      </c>
      <c r="U596" s="179" t="str">
        <f>IFERROR(VLOOKUP(N596,TD!$B$54:$F$58,2,0)," ")</f>
        <v>O230117</v>
      </c>
      <c r="V596" s="179" t="str">
        <f>IFERROR(VLOOKUP(N596,TD!$B$54:$F$58,3,0)," ")</f>
        <v>4503</v>
      </c>
      <c r="W596" s="179">
        <f>IFERROR(VLOOKUP(N596,TD!$B$54:$F$58,4,0)," ")</f>
        <v>20240255</v>
      </c>
      <c r="X596" s="174" t="s">
        <v>164</v>
      </c>
      <c r="Y596" s="167" t="str">
        <f>IFERROR(VLOOKUP(X596,TD!$J$55:$K$68,2,0)," ")</f>
        <v>Servicio de atención a incidentes y emergencias.</v>
      </c>
      <c r="Z596" s="180" t="str">
        <f>CONCATENATE(X596,"-",Y596)</f>
        <v>04-Servicio de atención a incidentes y emergencias.</v>
      </c>
      <c r="AA596" s="174" t="s">
        <v>221</v>
      </c>
      <c r="AB596" s="167" t="str">
        <f>IFERROR(VLOOKUP(AA596,TD!$N$55:$O$70,2,0)," ")</f>
        <v>Servicio de atención a emergencias y desastres</v>
      </c>
      <c r="AC596" s="180" t="str">
        <f>CONCATENATE(AA596,"_",AB596)</f>
        <v>004_Servicio de atención a emergencias y desastres</v>
      </c>
      <c r="AD596" s="180" t="str">
        <f>CONCATENATE(Z596," ",AC596)</f>
        <v>04-Servicio de atención a incidentes y emergencias. 004_Servicio de atención a emergencias y desastres</v>
      </c>
      <c r="AE596" s="179" t="str">
        <f>CONCATENATE(U596,V596,W596,X596,AA596)</f>
        <v>O23011745032024025504004</v>
      </c>
      <c r="AF596" s="167" t="str">
        <f>IFERROR(VLOOKUP(AD596,TD!$J$70:$K$93,2,0)," ")</f>
        <v>PM/0131/0104/45030040255</v>
      </c>
      <c r="AG596" s="130" t="s">
        <v>385</v>
      </c>
      <c r="AH596" s="181" t="s">
        <v>193</v>
      </c>
      <c r="AI596" s="184" t="str">
        <f>CONCATENATE(PAA[[#This Row],[Id Interno]],"-",PAA[[#This Row],[tipo de Contrato (TH talento humano - B/S bienes y/o servicios)]],"-",S596,"-",T596,"-",PAA[[#This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597" spans="2:35" ht="56" x14ac:dyDescent="0.35">
      <c r="B597" s="137">
        <v>20260586</v>
      </c>
      <c r="C597" s="117" t="s">
        <v>873</v>
      </c>
      <c r="D597" s="125" t="s">
        <v>105</v>
      </c>
      <c r="E597" s="125" t="s">
        <v>363</v>
      </c>
      <c r="F597" s="125" t="s">
        <v>144</v>
      </c>
      <c r="G597" s="126" t="s">
        <v>373</v>
      </c>
      <c r="H597" s="132">
        <v>6</v>
      </c>
      <c r="I597" s="132">
        <v>0</v>
      </c>
      <c r="J597" s="127">
        <v>36000000</v>
      </c>
      <c r="K597" s="128" t="s">
        <v>398</v>
      </c>
      <c r="L597" s="176" t="s">
        <v>151</v>
      </c>
      <c r="M597" s="174" t="s">
        <v>401</v>
      </c>
      <c r="N597" s="125" t="s">
        <v>197</v>
      </c>
      <c r="O597" s="156" t="s">
        <v>886</v>
      </c>
      <c r="P597" s="174" t="s">
        <v>348</v>
      </c>
      <c r="Q597" s="129">
        <v>80111600</v>
      </c>
      <c r="R597" s="174" t="s">
        <v>206</v>
      </c>
      <c r="S597" s="174" t="str">
        <f>MID(PAA[[#This Row],[Meta Proyecto de Inversión]],1,4)</f>
        <v>8126</v>
      </c>
      <c r="T597" s="174" t="str">
        <f>MID(PAA[[#This Row],[Meta Proyecto de Inversión]],6,2)</f>
        <v>7-</v>
      </c>
      <c r="U597" s="179" t="str">
        <f>IFERROR(VLOOKUP(N597,TD!$B$54:$F$58,2,0)," ")</f>
        <v>O230117</v>
      </c>
      <c r="V597" s="179" t="str">
        <f>IFERROR(VLOOKUP(N597,TD!$B$54:$F$58,3,0)," ")</f>
        <v>4599</v>
      </c>
      <c r="W597" s="179">
        <f>IFERROR(VLOOKUP(N597,TD!$B$54:$F$58,4,0)," ")</f>
        <v>20240207</v>
      </c>
      <c r="X597" s="174" t="s">
        <v>168</v>
      </c>
      <c r="Y597" s="167" t="str">
        <f>IFERROR(VLOOKUP(X597,TD!$J$55:$K$68,2,0)," ")</f>
        <v>Infraestructura Tecnológica   (Sistemas de Información y Tecnologia)</v>
      </c>
      <c r="Z597" s="180" t="str">
        <f>CONCATENATE(X597,"-",Y597)</f>
        <v>11-Infraestructura Tecnológica   (Sistemas de Información y Tecnologia)</v>
      </c>
      <c r="AA597" s="174" t="s">
        <v>228</v>
      </c>
      <c r="AB597" s="167" t="str">
        <f>IFERROR(VLOOKUP(AA597,TD!$N$55:$O$70,2,0)," ")</f>
        <v>Servicios tecnológicos</v>
      </c>
      <c r="AC597" s="180" t="str">
        <f>CONCATENATE(AA597,"_",AB597)</f>
        <v>007_Servicios tecnológicos</v>
      </c>
      <c r="AD597" s="180" t="str">
        <f>CONCATENATE(Z597," ",AC597)</f>
        <v>11-Infraestructura Tecnológica   (Sistemas de Información y Tecnologia) 007_Servicios tecnológicos</v>
      </c>
      <c r="AE597" s="179" t="str">
        <f>CONCATENATE(U597,V597,W597,X597,AA597)</f>
        <v>O23011745992024020711007</v>
      </c>
      <c r="AF597" s="167" t="str">
        <f>IFERROR(VLOOKUP(AD597,TD!$J$70:$K$93,2,0)," ")</f>
        <v>PM/0131/0111/45990070207</v>
      </c>
      <c r="AG597" s="130" t="s">
        <v>385</v>
      </c>
      <c r="AH597" s="181" t="s">
        <v>193</v>
      </c>
      <c r="AI597" s="184" t="str">
        <f>CONCATENATE(PAA[[#This Row],[Id Interno]],"-",PAA[[#This Row],[tipo de Contrato (TH talento humano - B/S bienes y/o servicios)]],"-",S597,"-",T597,"-",PAA[[#This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598" spans="2:35" ht="84" x14ac:dyDescent="0.35">
      <c r="B598" s="137">
        <v>20260587</v>
      </c>
      <c r="C598" s="117" t="s">
        <v>874</v>
      </c>
      <c r="D598" s="125" t="s">
        <v>105</v>
      </c>
      <c r="E598" s="125" t="s">
        <v>363</v>
      </c>
      <c r="F598" s="125" t="s">
        <v>144</v>
      </c>
      <c r="G598" s="126" t="s">
        <v>379</v>
      </c>
      <c r="H598" s="132">
        <v>5</v>
      </c>
      <c r="I598" s="132">
        <v>4</v>
      </c>
      <c r="J598" s="127">
        <v>36000000</v>
      </c>
      <c r="K598" s="128" t="s">
        <v>398</v>
      </c>
      <c r="L598" s="176" t="s">
        <v>151</v>
      </c>
      <c r="M598" s="174" t="s">
        <v>401</v>
      </c>
      <c r="N598" s="125" t="s">
        <v>197</v>
      </c>
      <c r="O598" s="156" t="s">
        <v>886</v>
      </c>
      <c r="P598" s="174" t="s">
        <v>348</v>
      </c>
      <c r="Q598" s="129">
        <v>80111600</v>
      </c>
      <c r="R598" s="174" t="s">
        <v>206</v>
      </c>
      <c r="S598" s="174" t="str">
        <f>MID(PAA[[#This Row],[Meta Proyecto de Inversión]],1,4)</f>
        <v>8126</v>
      </c>
      <c r="T598" s="166" t="str">
        <f>MID(PAA[[#This Row],[Meta Proyecto de Inversión]],6,2)</f>
        <v>7-</v>
      </c>
      <c r="U598" s="179" t="str">
        <f>IFERROR(VLOOKUP(N598,TD!$B$54:$F$58,2,0)," ")</f>
        <v>O230117</v>
      </c>
      <c r="V598" s="179" t="str">
        <f>IFERROR(VLOOKUP(N598,TD!$B$54:$F$58,3,0)," ")</f>
        <v>4599</v>
      </c>
      <c r="W598" s="179">
        <f>IFERROR(VLOOKUP(N598,TD!$B$54:$F$58,4,0)," ")</f>
        <v>20240207</v>
      </c>
      <c r="X598" s="174" t="s">
        <v>168</v>
      </c>
      <c r="Y598" s="167" t="str">
        <f>IFERROR(VLOOKUP(X598,TD!$J$55:$K$68,2,0)," ")</f>
        <v>Infraestructura Tecnológica   (Sistemas de Información y Tecnologia)</v>
      </c>
      <c r="Z598" s="180" t="str">
        <f>CONCATENATE(X598,"-",Y598)</f>
        <v>11-Infraestructura Tecnológica   (Sistemas de Información y Tecnologia)</v>
      </c>
      <c r="AA598" s="174" t="s">
        <v>228</v>
      </c>
      <c r="AB598" s="167" t="str">
        <f>IFERROR(VLOOKUP(AA598,TD!$N$55:$O$70,2,0)," ")</f>
        <v>Servicios tecnológicos</v>
      </c>
      <c r="AC598" s="180" t="str">
        <f>CONCATENATE(AA598,"_",AB598)</f>
        <v>007_Servicios tecnológicos</v>
      </c>
      <c r="AD598" s="180" t="str">
        <f>CONCATENATE(Z598," ",AC598)</f>
        <v>11-Infraestructura Tecnológica   (Sistemas de Información y Tecnologia) 007_Servicios tecnológicos</v>
      </c>
      <c r="AE598" s="179" t="str">
        <f>CONCATENATE(U598,V598,W598,X598,AA598)</f>
        <v>O23011745992024020711007</v>
      </c>
      <c r="AF598" s="167" t="str">
        <f>IFERROR(VLOOKUP(AD598,TD!$J$70:$K$93,2,0)," ")</f>
        <v>PM/0131/0111/45990070207</v>
      </c>
      <c r="AG598" s="130" t="s">
        <v>385</v>
      </c>
      <c r="AH598" s="181" t="s">
        <v>193</v>
      </c>
      <c r="AI598" s="184" t="str">
        <f>CONCATENATE(PAA[[#This Row],[Id Interno]],"-",PAA[[#This Row],[tipo de Contrato (TH talento humano - B/S bienes y/o servicios)]],"-",S598,"-",T598,"-",PAA[[#This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599" spans="2:35" ht="98" x14ac:dyDescent="0.35">
      <c r="B599" s="137">
        <v>20260588</v>
      </c>
      <c r="C599" s="125" t="s">
        <v>875</v>
      </c>
      <c r="D599" s="125" t="s">
        <v>92</v>
      </c>
      <c r="E599" s="125" t="s">
        <v>402</v>
      </c>
      <c r="F599" s="125" t="s">
        <v>111</v>
      </c>
      <c r="G599" s="160" t="s">
        <v>375</v>
      </c>
      <c r="H599" s="132">
        <v>1</v>
      </c>
      <c r="I599" s="132">
        <v>12</v>
      </c>
      <c r="J599" s="127">
        <v>2386600</v>
      </c>
      <c r="K599" s="128" t="s">
        <v>398</v>
      </c>
      <c r="L599" s="176" t="s">
        <v>155</v>
      </c>
      <c r="M599" s="174" t="s">
        <v>422</v>
      </c>
      <c r="N599" s="125" t="s">
        <v>197</v>
      </c>
      <c r="O599" s="161" t="s">
        <v>886</v>
      </c>
      <c r="P599" s="174" t="s">
        <v>348</v>
      </c>
      <c r="Q599" s="129" t="s">
        <v>727</v>
      </c>
      <c r="R599" s="174" t="s">
        <v>207</v>
      </c>
      <c r="S599" s="174" t="str">
        <f>MID(PAA[[#This Row],[Meta Proyecto de Inversión]],1,4)</f>
        <v>8126</v>
      </c>
      <c r="T599" s="174" t="str">
        <f>MID(PAA[[#This Row],[Meta Proyecto de Inversión]],6,2)</f>
        <v>8-</v>
      </c>
      <c r="U599" s="179" t="str">
        <f>IFERROR(VLOOKUP(N599,TD!$B$54:$F$58,2,0)," ")</f>
        <v>O230117</v>
      </c>
      <c r="V599" s="179" t="str">
        <f>IFERROR(VLOOKUP(N599,TD!$B$54:$F$58,3,0)," ")</f>
        <v>4599</v>
      </c>
      <c r="W599" s="179">
        <f>IFERROR(VLOOKUP(N599,TD!$B$54:$F$58,4,0)," ")</f>
        <v>20240207</v>
      </c>
      <c r="X599" s="174" t="s">
        <v>174</v>
      </c>
      <c r="Y599" s="167" t="str">
        <f>IFERROR(VLOOKUP(X599,TD!$J$55:$K$68,2,0)," ")</f>
        <v>Infraestructura física, mantenimiento y dotación (Sedes construidas, mantenidas reforzadas)</v>
      </c>
      <c r="Z599" s="180" t="str">
        <f>CONCATENATE(X599,"-",Y599)</f>
        <v>08-Infraestructura física, mantenimiento y dotación (Sedes construidas, mantenidas reforzadas)</v>
      </c>
      <c r="AA599" s="174" t="s">
        <v>227</v>
      </c>
      <c r="AB599" s="167" t="str">
        <f>IFERROR(VLOOKUP(AA599,TD!$N$55:$O$70,2,0)," ")</f>
        <v>Sedes mantenidas</v>
      </c>
      <c r="AC599" s="180" t="str">
        <f>CONCATENATE(AA599,"_",AB599)</f>
        <v>016_Sedes mantenidas</v>
      </c>
      <c r="AD599" s="180" t="str">
        <f>CONCATENATE(Z599," ",AC599)</f>
        <v>08-Infraestructura física, mantenimiento y dotación (Sedes construidas, mantenidas reforzadas) 016_Sedes mantenidas</v>
      </c>
      <c r="AE599" s="179" t="str">
        <f>CONCATENATE(U599,V599,W599,X599,AA599)</f>
        <v>O23011745992024020708016</v>
      </c>
      <c r="AF599" s="167" t="str">
        <f>IFERROR(VLOOKUP(AD599,TD!$J$70:$K$93,2,0)," ")</f>
        <v>PM/0131/0108/45990160207</v>
      </c>
      <c r="AG599" s="127" t="s">
        <v>868</v>
      </c>
      <c r="AH599" s="181" t="s">
        <v>194</v>
      </c>
      <c r="AI599" s="185" t="str">
        <f>CONCATENATE(PAA[[#This Row],[Id Interno]],"-",PAA[[#This Row],[tipo de Contrato (TH talento humano - B/S bienes y/o servicios)]],"-",S599,"-",T599,"-",PAA[[#This Row],[Objeto de la contratación]])</f>
        <v>20260588-BS-8126-8--Adición y prórroga No. 1 al contrato 698 de 2025 que tiene como objeto “Prestar el servicio y mantenimiento de equipos de higienización, desodorización y aromatización para la UAECOB-SGC"</v>
      </c>
    </row>
    <row r="600" spans="2:35" ht="56" x14ac:dyDescent="0.35">
      <c r="B600" s="137">
        <v>20260589</v>
      </c>
      <c r="C600" s="117" t="s">
        <v>876</v>
      </c>
      <c r="D600" s="125" t="s">
        <v>105</v>
      </c>
      <c r="E600" s="125" t="s">
        <v>363</v>
      </c>
      <c r="F600" s="125" t="s">
        <v>144</v>
      </c>
      <c r="G600" s="126" t="s">
        <v>373</v>
      </c>
      <c r="H600" s="132">
        <v>10</v>
      </c>
      <c r="I600" s="132">
        <v>0</v>
      </c>
      <c r="J600" s="127">
        <v>51610870</v>
      </c>
      <c r="K600" s="128" t="s">
        <v>398</v>
      </c>
      <c r="L600" s="176" t="s">
        <v>155</v>
      </c>
      <c r="M600" s="174" t="s">
        <v>422</v>
      </c>
      <c r="N600" s="125" t="s">
        <v>198</v>
      </c>
      <c r="O600" s="156" t="s">
        <v>887</v>
      </c>
      <c r="P600" s="174" t="s">
        <v>348</v>
      </c>
      <c r="Q600" s="129" t="s">
        <v>725</v>
      </c>
      <c r="R600" s="174" t="s">
        <v>216</v>
      </c>
      <c r="S600" s="174" t="str">
        <f>MID(PAA[[#This Row],[Meta Proyecto de Inversión]],1,4)</f>
        <v>8173</v>
      </c>
      <c r="T600" s="174" t="str">
        <f>MID(PAA[[#This Row],[Meta Proyecto de Inversión]],6,2)</f>
        <v>7-</v>
      </c>
      <c r="U600" s="179" t="str">
        <f>IFERROR(VLOOKUP(N600,TD!$B$54:$F$58,2,0)," ")</f>
        <v>O230117</v>
      </c>
      <c r="V600" s="179" t="str">
        <f>IFERROR(VLOOKUP(N600,TD!$B$54:$F$58,3,0)," ")</f>
        <v>4503</v>
      </c>
      <c r="W600" s="179">
        <f>IFERROR(VLOOKUP(N600,TD!$B$54:$F$58,4,0)," ")</f>
        <v>20240255</v>
      </c>
      <c r="X600" s="174">
        <v>14</v>
      </c>
      <c r="Y600" s="167" t="str">
        <f>IFERROR(VLOOKUP(X600,TD!$J$55:$K$68,2,0)," ")</f>
        <v xml:space="preserve">Infraestructura física misional construida mantenida y dotada </v>
      </c>
      <c r="Z600" s="180" t="str">
        <f>CONCATENATE(X600,"-",Y600)</f>
        <v xml:space="preserve">14-Infraestructura física misional construida mantenida y dotada </v>
      </c>
      <c r="AA600" s="174" t="s">
        <v>225</v>
      </c>
      <c r="AB600" s="167" t="str">
        <f>IFERROR(VLOOKUP(AA600,TD!$N$55:$O$70,2,0)," ")</f>
        <v>Estaciones de bomberos adecuadas</v>
      </c>
      <c r="AC600" s="180" t="str">
        <f>CONCATENATE(AA600,"_",AB600)</f>
        <v>014_Estaciones de bomberos adecuadas</v>
      </c>
      <c r="AD600" s="180" t="str">
        <f>CONCATENATE(Z600," ",AC600)</f>
        <v>14-Infraestructura física misional construida mantenida y dotada  014_Estaciones de bomberos adecuadas</v>
      </c>
      <c r="AE600" s="179" t="str">
        <f>CONCATENATE(U600,V600,W600,X600,AA600)</f>
        <v>O23011745032024025514014</v>
      </c>
      <c r="AF600" s="167" t="str">
        <f>IFERROR(VLOOKUP(AD600,TD!$J$70:$K$93,2,0)," ")</f>
        <v>PM/0131/0114/45030140255</v>
      </c>
      <c r="AG600" s="130" t="s">
        <v>385</v>
      </c>
      <c r="AH600" s="181" t="s">
        <v>193</v>
      </c>
      <c r="AI600" s="184" t="str">
        <f>CONCATENATE(PAA[[#This Row],[Id Interno]],"-",PAA[[#This Row],[tipo de Contrato (TH talento humano - B/S bienes y/o servicios)]],"-",S600,"-",T600,"-",PAA[[#This Row],[Objeto de la contratación]])</f>
        <v>20260589-TH-8173-7--Prestación de servicios profesionales para apoyar las actividades jurídicas de la Subdirección de Gestión Corporativa-SGC</v>
      </c>
    </row>
    <row r="601" spans="2:35" ht="42" x14ac:dyDescent="0.35">
      <c r="B601" s="137">
        <v>20260590</v>
      </c>
      <c r="C601" s="117" t="s">
        <v>665</v>
      </c>
      <c r="D601" s="125" t="s">
        <v>105</v>
      </c>
      <c r="E601" s="125" t="s">
        <v>363</v>
      </c>
      <c r="F601" s="125" t="s">
        <v>145</v>
      </c>
      <c r="G601" s="126" t="s">
        <v>373</v>
      </c>
      <c r="H601" s="132">
        <v>6</v>
      </c>
      <c r="I601" s="132">
        <v>0</v>
      </c>
      <c r="J601" s="127">
        <v>19705968</v>
      </c>
      <c r="K601" s="128" t="s">
        <v>398</v>
      </c>
      <c r="L601" s="176" t="s">
        <v>155</v>
      </c>
      <c r="M601" s="174" t="s">
        <v>422</v>
      </c>
      <c r="N601" s="125" t="s">
        <v>197</v>
      </c>
      <c r="O601" s="156" t="s">
        <v>886</v>
      </c>
      <c r="P601" s="174" t="s">
        <v>348</v>
      </c>
      <c r="Q601" s="129" t="s">
        <v>725</v>
      </c>
      <c r="R601" s="174" t="s">
        <v>207</v>
      </c>
      <c r="S601" s="174" t="str">
        <f>MID(PAA[[#This Row],[Meta Proyecto de Inversión]],1,4)</f>
        <v>8126</v>
      </c>
      <c r="T601" s="174" t="str">
        <f>MID(PAA[[#This Row],[Meta Proyecto de Inversión]],6,2)</f>
        <v>8-</v>
      </c>
      <c r="U601" s="179" t="str">
        <f>IFERROR(VLOOKUP(N601,TD!$B$54:$F$58,2,0)," ")</f>
        <v>O230117</v>
      </c>
      <c r="V601" s="179" t="str">
        <f>IFERROR(VLOOKUP(N601,TD!$B$54:$F$58,3,0)," ")</f>
        <v>4599</v>
      </c>
      <c r="W601" s="179">
        <f>IFERROR(VLOOKUP(N601,TD!$B$54:$F$58,4,0)," ")</f>
        <v>20240207</v>
      </c>
      <c r="X601" s="174" t="s">
        <v>174</v>
      </c>
      <c r="Y601" s="167" t="str">
        <f>IFERROR(VLOOKUP(X601,TD!$J$55:$K$68,2,0)," ")</f>
        <v>Infraestructura física, mantenimiento y dotación (Sedes construidas, mantenidas reforzadas)</v>
      </c>
      <c r="Z601" s="180" t="str">
        <f>CONCATENATE(X601,"-",Y601)</f>
        <v>08-Infraestructura física, mantenimiento y dotación (Sedes construidas, mantenidas reforzadas)</v>
      </c>
      <c r="AA601" s="174" t="s">
        <v>227</v>
      </c>
      <c r="AB601" s="167" t="str">
        <f>IFERROR(VLOOKUP(AA601,TD!$N$55:$O$70,2,0)," ")</f>
        <v>Sedes mantenidas</v>
      </c>
      <c r="AC601" s="180" t="str">
        <f>CONCATENATE(AA601,"_",AB601)</f>
        <v>016_Sedes mantenidas</v>
      </c>
      <c r="AD601" s="180" t="str">
        <f>CONCATENATE(Z601," ",AC601)</f>
        <v>08-Infraestructura física, mantenimiento y dotación (Sedes construidas, mantenidas reforzadas) 016_Sedes mantenidas</v>
      </c>
      <c r="AE601" s="179" t="str">
        <f>CONCATENATE(U601,V601,W601,X601,AA601)</f>
        <v>O23011745992024020708016</v>
      </c>
      <c r="AF601" s="167" t="str">
        <f>IFERROR(VLOOKUP(AD601,TD!$J$70:$K$93,2,0)," ")</f>
        <v>PM/0131/0108/45990160207</v>
      </c>
      <c r="AG601" s="130" t="s">
        <v>385</v>
      </c>
      <c r="AH601" s="181" t="s">
        <v>193</v>
      </c>
      <c r="AI601" s="184" t="str">
        <f>CONCATENATE(PAA[[#This Row],[Id Interno]],"-",PAA[[#This Row],[tipo de Contrato (TH talento humano - B/S bienes y/o servicios)]],"-",S601,"-",T601,"-",PAA[[#This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602" spans="2:35" ht="70" x14ac:dyDescent="0.35">
      <c r="B602" s="137">
        <v>20260592</v>
      </c>
      <c r="C602" s="117" t="s">
        <v>646</v>
      </c>
      <c r="D602" s="125" t="s">
        <v>105</v>
      </c>
      <c r="E602" s="125" t="s">
        <v>363</v>
      </c>
      <c r="F602" s="125" t="s">
        <v>145</v>
      </c>
      <c r="G602" s="126" t="s">
        <v>373</v>
      </c>
      <c r="H602" s="132">
        <v>6</v>
      </c>
      <c r="I602" s="132">
        <v>0</v>
      </c>
      <c r="J602" s="127">
        <v>16890834</v>
      </c>
      <c r="K602" s="128" t="s">
        <v>398</v>
      </c>
      <c r="L602" s="176" t="s">
        <v>155</v>
      </c>
      <c r="M602" s="174" t="s">
        <v>422</v>
      </c>
      <c r="N602" s="125" t="s">
        <v>197</v>
      </c>
      <c r="O602" s="156" t="s">
        <v>886</v>
      </c>
      <c r="P602" s="174" t="s">
        <v>348</v>
      </c>
      <c r="Q602" s="129" t="s">
        <v>725</v>
      </c>
      <c r="R602" s="174" t="s">
        <v>208</v>
      </c>
      <c r="S602" s="174" t="str">
        <f>MID(PAA[[#This Row],[Meta Proyecto de Inversión]],1,4)</f>
        <v>8126</v>
      </c>
      <c r="T602" s="174" t="str">
        <f>MID(PAA[[#This Row],[Meta Proyecto de Inversión]],6,2)</f>
        <v>9-</v>
      </c>
      <c r="U602" s="179" t="str">
        <f>IFERROR(VLOOKUP(N602,TD!$B$54:$F$58,2,0)," ")</f>
        <v>O230117</v>
      </c>
      <c r="V602" s="179" t="str">
        <f>IFERROR(VLOOKUP(N602,TD!$B$54:$F$58,3,0)," ")</f>
        <v>4599</v>
      </c>
      <c r="W602" s="179">
        <f>IFERROR(VLOOKUP(N602,TD!$B$54:$F$58,4,0)," ")</f>
        <v>20240207</v>
      </c>
      <c r="X602" s="174" t="s">
        <v>174</v>
      </c>
      <c r="Y602" s="167" t="str">
        <f>IFERROR(VLOOKUP(X602,TD!$J$55:$K$68,2,0)," ")</f>
        <v>Infraestructura física, mantenimiento y dotación (Sedes construidas, mantenidas reforzadas)</v>
      </c>
      <c r="Z602" s="180" t="str">
        <f>CONCATENATE(X602,"-",Y602)</f>
        <v>08-Infraestructura física, mantenimiento y dotación (Sedes construidas, mantenidas reforzadas)</v>
      </c>
      <c r="AA602" s="174" t="s">
        <v>227</v>
      </c>
      <c r="AB602" s="167" t="str">
        <f>IFERROR(VLOOKUP(AA602,TD!$N$55:$O$70,2,0)," ")</f>
        <v>Sedes mantenidas</v>
      </c>
      <c r="AC602" s="180" t="str">
        <f>CONCATENATE(AA602,"_",AB602)</f>
        <v>016_Sedes mantenidas</v>
      </c>
      <c r="AD602" s="180" t="str">
        <f>CONCATENATE(Z602," ",AC602)</f>
        <v>08-Infraestructura física, mantenimiento y dotación (Sedes construidas, mantenidas reforzadas) 016_Sedes mantenidas</v>
      </c>
      <c r="AE602" s="179" t="str">
        <f>CONCATENATE(U602,V602,W602,X602,AA602)</f>
        <v>O23011745992024020708016</v>
      </c>
      <c r="AF602" s="167" t="str">
        <f>IFERROR(VLOOKUP(AD602,TD!$J$70:$K$93,2,0)," ")</f>
        <v>PM/0131/0108/45990160207</v>
      </c>
      <c r="AG602" s="130" t="s">
        <v>385</v>
      </c>
      <c r="AH602" s="181" t="s">
        <v>193</v>
      </c>
      <c r="AI602" s="184" t="str">
        <f>CONCATENATE(PAA[[#This Row],[Id Interno]],"-",PAA[[#This Row],[tipo de Contrato (TH talento humano - B/S bienes y/o servicios)]],"-",S602,"-",T602,"-",PAA[[#This Row],[Objeto de la contratación]])</f>
        <v>20260592-TH-8126-9--Prestación de servicios de apoyo a la gestión del proceso de inventarios de la Subdirección de Gestión Corporativa.-SGC</v>
      </c>
    </row>
    <row r="603" spans="2:35" ht="42" x14ac:dyDescent="0.35">
      <c r="B603" s="137">
        <v>20260594</v>
      </c>
      <c r="C603" s="117" t="s">
        <v>877</v>
      </c>
      <c r="D603" s="125" t="s">
        <v>105</v>
      </c>
      <c r="E603" s="125" t="s">
        <v>363</v>
      </c>
      <c r="F603" s="125" t="s">
        <v>144</v>
      </c>
      <c r="G603" s="126" t="s">
        <v>373</v>
      </c>
      <c r="H603" s="132">
        <v>10</v>
      </c>
      <c r="I603" s="132">
        <v>0</v>
      </c>
      <c r="J603" s="127">
        <v>30966522</v>
      </c>
      <c r="K603" s="128" t="s">
        <v>398</v>
      </c>
      <c r="L603" s="176" t="s">
        <v>155</v>
      </c>
      <c r="M603" s="174" t="s">
        <v>422</v>
      </c>
      <c r="N603" s="125" t="s">
        <v>197</v>
      </c>
      <c r="O603" s="156" t="s">
        <v>886</v>
      </c>
      <c r="P603" s="174" t="s">
        <v>348</v>
      </c>
      <c r="Q603" s="129" t="s">
        <v>725</v>
      </c>
      <c r="R603" s="174" t="s">
        <v>208</v>
      </c>
      <c r="S603" s="174" t="str">
        <f>MID(PAA[[#This Row],[Meta Proyecto de Inversión]],1,4)</f>
        <v>8126</v>
      </c>
      <c r="T603" s="174" t="str">
        <f>MID(PAA[[#This Row],[Meta Proyecto de Inversión]],6,2)</f>
        <v>9-</v>
      </c>
      <c r="U603" s="179" t="str">
        <f>IFERROR(VLOOKUP(N603,TD!$B$54:$F$58,2,0)," ")</f>
        <v>O230117</v>
      </c>
      <c r="V603" s="179" t="str">
        <f>IFERROR(VLOOKUP(N603,TD!$B$54:$F$58,3,0)," ")</f>
        <v>4599</v>
      </c>
      <c r="W603" s="179">
        <f>IFERROR(VLOOKUP(N603,TD!$B$54:$F$58,4,0)," ")</f>
        <v>20240207</v>
      </c>
      <c r="X603" s="174" t="s">
        <v>174</v>
      </c>
      <c r="Y603" s="167" t="str">
        <f>IFERROR(VLOOKUP(X603,TD!$J$55:$K$68,2,0)," ")</f>
        <v>Infraestructura física, mantenimiento y dotación (Sedes construidas, mantenidas reforzadas)</v>
      </c>
      <c r="Z603" s="180" t="str">
        <f>CONCATENATE(X603,"-",Y603)</f>
        <v>08-Infraestructura física, mantenimiento y dotación (Sedes construidas, mantenidas reforzadas)</v>
      </c>
      <c r="AA603" s="174" t="s">
        <v>227</v>
      </c>
      <c r="AB603" s="167" t="str">
        <f>IFERROR(VLOOKUP(AA603,TD!$N$55:$O$70,2,0)," ")</f>
        <v>Sedes mantenidas</v>
      </c>
      <c r="AC603" s="180" t="str">
        <f>CONCATENATE(AA603,"_",AB603)</f>
        <v>016_Sedes mantenidas</v>
      </c>
      <c r="AD603" s="180" t="str">
        <f>CONCATENATE(Z603," ",AC603)</f>
        <v>08-Infraestructura física, mantenimiento y dotación (Sedes construidas, mantenidas reforzadas) 016_Sedes mantenidas</v>
      </c>
      <c r="AE603" s="179" t="str">
        <f>CONCATENATE(U603,V603,W603,X603,AA603)</f>
        <v>O23011745992024020708016</v>
      </c>
      <c r="AF603" s="167" t="str">
        <f>IFERROR(VLOOKUP(AD603,TD!$J$70:$K$93,2,0)," ")</f>
        <v>PM/0131/0108/45990160207</v>
      </c>
      <c r="AG603" s="130" t="s">
        <v>385</v>
      </c>
      <c r="AH603" s="181" t="s">
        <v>193</v>
      </c>
      <c r="AI603" s="184" t="str">
        <f>CONCATENATE(PAA[[#This Row],[Id Interno]],"-",PAA[[#This Row],[tipo de Contrato (TH talento humano - B/S bienes y/o servicios)]],"-",S603,"-",T603,"-",PAA[[#This Row],[Objeto de la contratación]])</f>
        <v>20260594-TH-8126-9--Prestación de servicios profesionales, en temas jurídicos de la gestión administrativa a cargo de la Subdirección de Gestión Corporativa.- SGC</v>
      </c>
    </row>
    <row r="604" spans="2:35" ht="42" x14ac:dyDescent="0.35">
      <c r="B604" s="146">
        <v>20260596</v>
      </c>
      <c r="C604" s="117" t="s">
        <v>878</v>
      </c>
      <c r="D604" s="125" t="s">
        <v>78</v>
      </c>
      <c r="E604" s="125" t="s">
        <v>402</v>
      </c>
      <c r="F604" s="125" t="s">
        <v>133</v>
      </c>
      <c r="G604" s="126" t="s">
        <v>376</v>
      </c>
      <c r="H604" s="132">
        <v>3</v>
      </c>
      <c r="I604" s="132">
        <v>12</v>
      </c>
      <c r="J604" s="127">
        <v>1646510494</v>
      </c>
      <c r="K604" s="128" t="s">
        <v>398</v>
      </c>
      <c r="L604" s="176" t="s">
        <v>155</v>
      </c>
      <c r="M604" s="174" t="s">
        <v>422</v>
      </c>
      <c r="N604" s="125" t="s">
        <v>330</v>
      </c>
      <c r="O604" s="156" t="s">
        <v>886</v>
      </c>
      <c r="P604" s="174" t="s">
        <v>161</v>
      </c>
      <c r="Q604" s="129" t="s">
        <v>743</v>
      </c>
      <c r="R604" s="174" t="s">
        <v>331</v>
      </c>
      <c r="S604" s="174" t="str">
        <f>MID(PAA[[#This Row],[Meta Proyecto de Inversión]],1,4)</f>
        <v>No a</v>
      </c>
      <c r="T604" s="174" t="str">
        <f>MID(PAA[[#This Row],[Meta Proyecto de Inversión]],6,2)</f>
        <v>li</v>
      </c>
      <c r="U604" s="179" t="str">
        <f>IFERROR(VLOOKUP(N604,TD!$B$54:$F$58,2,0)," ")</f>
        <v>NA</v>
      </c>
      <c r="V604" s="179" t="str">
        <f>IFERROR(VLOOKUP(N604,TD!$B$54:$F$58,3,0)," ")</f>
        <v>NA</v>
      </c>
      <c r="W604" s="179" t="str">
        <f>IFERROR(VLOOKUP(N604,TD!$B$54:$F$58,4,0)," ")</f>
        <v>NA</v>
      </c>
      <c r="X604" s="174" t="s">
        <v>335</v>
      </c>
      <c r="Y604" s="167" t="str">
        <f>IFERROR(VLOOKUP(X604,TD!$J$55:$K$68,2,0)," ")</f>
        <v>N/A</v>
      </c>
      <c r="Z604" s="180" t="str">
        <f>CONCATENATE(X604,"-",Y604)</f>
        <v>N/A-N/A</v>
      </c>
      <c r="AA604" s="174" t="s">
        <v>335</v>
      </c>
      <c r="AB604" s="167" t="str">
        <f>IFERROR(VLOOKUP(AA604,TD!$N$55:$O$70,2,0)," ")</f>
        <v>N/A</v>
      </c>
      <c r="AC604" s="180" t="str">
        <f>CONCATENATE(AA604,"_",AB604)</f>
        <v>N/A_N/A</v>
      </c>
      <c r="AD604" s="180" t="str">
        <f>CONCATENATE(Z604," ",AC604)</f>
        <v>N/A-N/A N/A_N/A</v>
      </c>
      <c r="AE604" s="179" t="str">
        <f>CONCATENATE(U604,V604,W604,X604,AA604)</f>
        <v>NANANAN/AN/A</v>
      </c>
      <c r="AF604" s="167" t="str">
        <f>IFERROR(VLOOKUP(AD604,TD!$J$70:$K$93,2,0)," ")</f>
        <v>N/A</v>
      </c>
      <c r="AG604" s="130" t="s">
        <v>332</v>
      </c>
      <c r="AH604" s="181" t="s">
        <v>194</v>
      </c>
      <c r="AI604" s="184" t="str">
        <f>CONCATENATE(PAA[[#This Row],[Id Interno]],"-",PAA[[#This Row],[tipo de Contrato (TH talento humano - B/S bienes y/o servicios)]],"-",S604,"-",T604,"-",PAA[[#This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605" spans="2:35" ht="140" x14ac:dyDescent="0.35">
      <c r="B605" s="137">
        <v>20260597</v>
      </c>
      <c r="C605" s="117" t="s">
        <v>1124</v>
      </c>
      <c r="D605" s="125" t="s">
        <v>83</v>
      </c>
      <c r="E605" s="125" t="s">
        <v>402</v>
      </c>
      <c r="F605" s="125" t="s">
        <v>133</v>
      </c>
      <c r="G605" s="126" t="s">
        <v>378</v>
      </c>
      <c r="H605" s="132">
        <v>12</v>
      </c>
      <c r="I605" s="132">
        <v>0</v>
      </c>
      <c r="J605" s="127">
        <v>60000000</v>
      </c>
      <c r="K605" s="128" t="s">
        <v>398</v>
      </c>
      <c r="L605" s="176" t="s">
        <v>155</v>
      </c>
      <c r="M605" s="174" t="s">
        <v>422</v>
      </c>
      <c r="N605" s="125" t="s">
        <v>330</v>
      </c>
      <c r="O605" s="156" t="s">
        <v>886</v>
      </c>
      <c r="P605" s="174" t="s">
        <v>161</v>
      </c>
      <c r="Q605" s="129" t="s">
        <v>743</v>
      </c>
      <c r="R605" s="174" t="s">
        <v>331</v>
      </c>
      <c r="S605" s="174" t="str">
        <f>MID(PAA[[#This Row],[Meta Proyecto de Inversión]],1,4)</f>
        <v>No a</v>
      </c>
      <c r="T605" s="174" t="str">
        <f>MID(PAA[[#This Row],[Meta Proyecto de Inversión]],6,2)</f>
        <v>li</v>
      </c>
      <c r="U605" s="179" t="str">
        <f>IFERROR(VLOOKUP(N605,TD!$B$54:$F$58,2,0)," ")</f>
        <v>NA</v>
      </c>
      <c r="V605" s="179" t="str">
        <f>IFERROR(VLOOKUP(N605,TD!$B$54:$F$58,3,0)," ")</f>
        <v>NA</v>
      </c>
      <c r="W605" s="179" t="str">
        <f>IFERROR(VLOOKUP(N605,TD!$B$54:$F$58,4,0)," ")</f>
        <v>NA</v>
      </c>
      <c r="X605" s="174" t="s">
        <v>335</v>
      </c>
      <c r="Y605" s="167" t="str">
        <f>IFERROR(VLOOKUP(X605,TD!$J$55:$K$68,2,0)," ")</f>
        <v>N/A</v>
      </c>
      <c r="Z605" s="180" t="str">
        <f>CONCATENATE(X605,"-",Y605)</f>
        <v>N/A-N/A</v>
      </c>
      <c r="AA605" s="174" t="s">
        <v>335</v>
      </c>
      <c r="AB605" s="167" t="str">
        <f>IFERROR(VLOOKUP(AA605,TD!$N$55:$O$70,2,0)," ")</f>
        <v>N/A</v>
      </c>
      <c r="AC605" s="180" t="str">
        <f>CONCATENATE(AA605,"_",AB605)</f>
        <v>N/A_N/A</v>
      </c>
      <c r="AD605" s="180" t="str">
        <f>CONCATENATE(Z605," ",AC605)</f>
        <v>N/A-N/A N/A_N/A</v>
      </c>
      <c r="AE605" s="179" t="str">
        <f>CONCATENATE(U605,V605,W605,X605,AA605)</f>
        <v>NANANAN/AN/A</v>
      </c>
      <c r="AF605" s="167" t="str">
        <f>IFERROR(VLOOKUP(AD605,TD!$J$70:$K$93,2,0)," ")</f>
        <v>N/A</v>
      </c>
      <c r="AG605" s="130" t="s">
        <v>332</v>
      </c>
      <c r="AH605" s="181" t="s">
        <v>194</v>
      </c>
      <c r="AI605" s="184" t="str">
        <f>CONCATENATE(PAA[[#This Row],[Id Interno]],"-",PAA[[#This Row],[tipo de Contrato (TH talento humano - B/S bienes y/o servicios)]],"-",S605,"-",T605,"-",PAA[[#This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606" spans="2:35" ht="140" x14ac:dyDescent="0.35">
      <c r="B606" s="137">
        <v>20260598</v>
      </c>
      <c r="C606" s="117" t="s">
        <v>879</v>
      </c>
      <c r="D606" s="125" t="s">
        <v>114</v>
      </c>
      <c r="E606" s="125" t="s">
        <v>402</v>
      </c>
      <c r="F606" s="125" t="s">
        <v>89</v>
      </c>
      <c r="G606" s="126" t="s">
        <v>373</v>
      </c>
      <c r="H606" s="132">
        <v>1</v>
      </c>
      <c r="I606" s="132">
        <v>0</v>
      </c>
      <c r="J606" s="127">
        <v>44996886</v>
      </c>
      <c r="K606" s="128" t="s">
        <v>398</v>
      </c>
      <c r="L606" s="176" t="s">
        <v>155</v>
      </c>
      <c r="M606" s="174" t="s">
        <v>422</v>
      </c>
      <c r="N606" s="125" t="s">
        <v>197</v>
      </c>
      <c r="O606" s="156" t="s">
        <v>886</v>
      </c>
      <c r="P606" s="174" t="s">
        <v>348</v>
      </c>
      <c r="Q606" s="129" t="s">
        <v>726</v>
      </c>
      <c r="R606" s="174" t="s">
        <v>207</v>
      </c>
      <c r="S606" s="174" t="str">
        <f>MID(PAA[[#This Row],[Meta Proyecto de Inversión]],1,4)</f>
        <v>8126</v>
      </c>
      <c r="T606" s="174" t="str">
        <f>MID(PAA[[#This Row],[Meta Proyecto de Inversión]],6,2)</f>
        <v>8-</v>
      </c>
      <c r="U606" s="179" t="str">
        <f>IFERROR(VLOOKUP(N606,TD!$B$54:$F$58,2,0)," ")</f>
        <v>O230117</v>
      </c>
      <c r="V606" s="179" t="str">
        <f>IFERROR(VLOOKUP(N606,TD!$B$54:$F$58,3,0)," ")</f>
        <v>4599</v>
      </c>
      <c r="W606" s="179">
        <f>IFERROR(VLOOKUP(N606,TD!$B$54:$F$58,4,0)," ")</f>
        <v>20240207</v>
      </c>
      <c r="X606" s="174" t="s">
        <v>174</v>
      </c>
      <c r="Y606" s="167" t="str">
        <f>IFERROR(VLOOKUP(X606,TD!$J$55:$K$68,2,0)," ")</f>
        <v>Infraestructura física, mantenimiento y dotación (Sedes construidas, mantenidas reforzadas)</v>
      </c>
      <c r="Z606" s="180" t="str">
        <f>CONCATENATE(X606,"-",Y606)</f>
        <v>08-Infraestructura física, mantenimiento y dotación (Sedes construidas, mantenidas reforzadas)</v>
      </c>
      <c r="AA606" s="174" t="s">
        <v>227</v>
      </c>
      <c r="AB606" s="167" t="str">
        <f>IFERROR(VLOOKUP(AA606,TD!$N$55:$O$70,2,0)," ")</f>
        <v>Sedes mantenidas</v>
      </c>
      <c r="AC606" s="180" t="str">
        <f>CONCATENATE(AA606,"_",AB606)</f>
        <v>016_Sedes mantenidas</v>
      </c>
      <c r="AD606" s="180" t="str">
        <f>CONCATENATE(Z606," ",AC606)</f>
        <v>08-Infraestructura física, mantenimiento y dotación (Sedes construidas, mantenidas reforzadas) 016_Sedes mantenidas</v>
      </c>
      <c r="AE606" s="179" t="str">
        <f>CONCATENATE(U606,V606,W606,X606,AA606)</f>
        <v>O23011745992024020708016</v>
      </c>
      <c r="AF606" s="167" t="str">
        <f>IFERROR(VLOOKUP(AD606,TD!$J$70:$K$93,2,0)," ")</f>
        <v>PM/0131/0108/45990160207</v>
      </c>
      <c r="AG606" s="130" t="s">
        <v>134</v>
      </c>
      <c r="AH606" s="181" t="s">
        <v>194</v>
      </c>
      <c r="AI606" s="184" t="str">
        <f>CONCATENATE(PAA[[#This Row],[Id Interno]],"-",PAA[[#This Row],[tipo de Contrato (TH talento humano - B/S bienes y/o servicios)]],"-",S606,"-",T606,"-",PAA[[#This Row],[Objeto de la contratación]])</f>
        <v>20260598-BS-8126-8--Adición y prórroga No. 2 al contrato 597 de 2025  que tiene como objeto " Contratar la prestación del servicio de aseo y cafetería incluido insumos para la UAE Cuerpo Oficial de Bomberos -SGC</v>
      </c>
    </row>
    <row r="607" spans="2:35" ht="56" x14ac:dyDescent="0.35">
      <c r="B607" s="137">
        <v>20260599</v>
      </c>
      <c r="C607" s="117" t="s">
        <v>879</v>
      </c>
      <c r="D607" s="125" t="s">
        <v>114</v>
      </c>
      <c r="E607" s="125" t="s">
        <v>402</v>
      </c>
      <c r="F607" s="125" t="s">
        <v>89</v>
      </c>
      <c r="G607" s="126" t="s">
        <v>373</v>
      </c>
      <c r="H607" s="132">
        <v>1</v>
      </c>
      <c r="I607" s="132">
        <v>0</v>
      </c>
      <c r="J607" s="127">
        <v>45000000</v>
      </c>
      <c r="K607" s="128" t="s">
        <v>398</v>
      </c>
      <c r="L607" s="176" t="s">
        <v>155</v>
      </c>
      <c r="M607" s="174" t="s">
        <v>422</v>
      </c>
      <c r="N607" s="125" t="s">
        <v>330</v>
      </c>
      <c r="O607" s="156" t="s">
        <v>886</v>
      </c>
      <c r="P607" s="174" t="s">
        <v>161</v>
      </c>
      <c r="Q607" s="129" t="s">
        <v>726</v>
      </c>
      <c r="R607" s="174" t="s">
        <v>331</v>
      </c>
      <c r="S607" s="174" t="str">
        <f>MID(PAA[[#This Row],[Meta Proyecto de Inversión]],1,4)</f>
        <v>No a</v>
      </c>
      <c r="T607" s="174" t="str">
        <f>MID(PAA[[#This Row],[Meta Proyecto de Inversión]],6,2)</f>
        <v>li</v>
      </c>
      <c r="U607" s="179" t="str">
        <f>IFERROR(VLOOKUP(N607,TD!$B$54:$F$58,2,0)," ")</f>
        <v>NA</v>
      </c>
      <c r="V607" s="179" t="str">
        <f>IFERROR(VLOOKUP(N607,TD!$B$54:$F$58,3,0)," ")</f>
        <v>NA</v>
      </c>
      <c r="W607" s="179" t="str">
        <f>IFERROR(VLOOKUP(N607,TD!$B$54:$F$58,4,0)," ")</f>
        <v>NA</v>
      </c>
      <c r="X607" s="174" t="s">
        <v>335</v>
      </c>
      <c r="Y607" s="167" t="str">
        <f>IFERROR(VLOOKUP(X607,TD!$J$55:$K$68,2,0)," ")</f>
        <v>N/A</v>
      </c>
      <c r="Z607" s="180" t="str">
        <f>CONCATENATE(X607,"-",Y607)</f>
        <v>N/A-N/A</v>
      </c>
      <c r="AA607" s="174" t="s">
        <v>335</v>
      </c>
      <c r="AB607" s="167" t="str">
        <f>IFERROR(VLOOKUP(AA607,TD!$N$55:$O$70,2,0)," ")</f>
        <v>N/A</v>
      </c>
      <c r="AC607" s="180" t="str">
        <f>CONCATENATE(AA607,"_",AB607)</f>
        <v>N/A_N/A</v>
      </c>
      <c r="AD607" s="180" t="str">
        <f>CONCATENATE(Z607," ",AC607)</f>
        <v>N/A-N/A N/A_N/A</v>
      </c>
      <c r="AE607" s="179" t="str">
        <f>CONCATENATE(U607,V607,W607,X607,AA607)</f>
        <v>NANANAN/AN/A</v>
      </c>
      <c r="AF607" s="167" t="str">
        <f>IFERROR(VLOOKUP(AD607,TD!$J$70:$K$93,2,0)," ")</f>
        <v>N/A</v>
      </c>
      <c r="AG607" s="130" t="s">
        <v>332</v>
      </c>
      <c r="AH607" s="181" t="s">
        <v>194</v>
      </c>
      <c r="AI607" s="184" t="str">
        <f>CONCATENATE(PAA[[#This Row],[Id Interno]],"-",PAA[[#This Row],[tipo de Contrato (TH talento humano - B/S bienes y/o servicios)]],"-",S607,"-",T607,"-",PAA[[#This Row],[Objeto de la contratación]])</f>
        <v>20260599-BS-No a-li-Adición y prórroga No. 2 al contrato 597 de 2025  que tiene como objeto " Contratar la prestación del servicio de aseo y cafetería incluido insumos para la UAE Cuerpo Oficial de Bomberos -SGC</v>
      </c>
    </row>
    <row r="608" spans="2:35" ht="56" x14ac:dyDescent="0.35">
      <c r="B608" s="137">
        <v>20260600</v>
      </c>
      <c r="C608" s="117" t="s">
        <v>879</v>
      </c>
      <c r="D608" s="125" t="s">
        <v>114</v>
      </c>
      <c r="E608" s="125" t="s">
        <v>402</v>
      </c>
      <c r="F608" s="125" t="s">
        <v>89</v>
      </c>
      <c r="G608" s="126" t="s">
        <v>373</v>
      </c>
      <c r="H608" s="132">
        <v>1</v>
      </c>
      <c r="I608" s="132">
        <v>0</v>
      </c>
      <c r="J608" s="127">
        <v>25000000</v>
      </c>
      <c r="K608" s="128" t="s">
        <v>398</v>
      </c>
      <c r="L608" s="176" t="s">
        <v>155</v>
      </c>
      <c r="M608" s="174" t="s">
        <v>422</v>
      </c>
      <c r="N608" s="125" t="s">
        <v>330</v>
      </c>
      <c r="O608" s="156" t="s">
        <v>886</v>
      </c>
      <c r="P608" s="174" t="s">
        <v>161</v>
      </c>
      <c r="Q608" s="129" t="s">
        <v>726</v>
      </c>
      <c r="R608" s="174" t="s">
        <v>331</v>
      </c>
      <c r="S608" s="174" t="str">
        <f>MID(PAA[[#This Row],[Meta Proyecto de Inversión]],1,4)</f>
        <v>No a</v>
      </c>
      <c r="T608" s="174" t="str">
        <f>MID(PAA[[#This Row],[Meta Proyecto de Inversión]],6,2)</f>
        <v>li</v>
      </c>
      <c r="U608" s="179" t="str">
        <f>IFERROR(VLOOKUP(N608,TD!$B$54:$F$58,2,0)," ")</f>
        <v>NA</v>
      </c>
      <c r="V608" s="179" t="str">
        <f>IFERROR(VLOOKUP(N608,TD!$B$54:$F$58,3,0)," ")</f>
        <v>NA</v>
      </c>
      <c r="W608" s="179" t="str">
        <f>IFERROR(VLOOKUP(N608,TD!$B$54:$F$58,4,0)," ")</f>
        <v>NA</v>
      </c>
      <c r="X608" s="174" t="s">
        <v>335</v>
      </c>
      <c r="Y608" s="167" t="str">
        <f>IFERROR(VLOOKUP(X608,TD!$J$55:$K$68,2,0)," ")</f>
        <v>N/A</v>
      </c>
      <c r="Z608" s="180" t="str">
        <f>CONCATENATE(X608,"-",Y608)</f>
        <v>N/A-N/A</v>
      </c>
      <c r="AA608" s="174" t="s">
        <v>335</v>
      </c>
      <c r="AB608" s="167" t="str">
        <f>IFERROR(VLOOKUP(AA608,TD!$N$55:$O$70,2,0)," ")</f>
        <v>N/A</v>
      </c>
      <c r="AC608" s="180" t="str">
        <f>CONCATENATE(AA608,"_",AB608)</f>
        <v>N/A_N/A</v>
      </c>
      <c r="AD608" s="180" t="str">
        <f>CONCATENATE(Z608," ",AC608)</f>
        <v>N/A-N/A N/A_N/A</v>
      </c>
      <c r="AE608" s="179" t="str">
        <f>CONCATENATE(U608,V608,W608,X608,AA608)</f>
        <v>NANANAN/AN/A</v>
      </c>
      <c r="AF608" s="167" t="str">
        <f>IFERROR(VLOOKUP(AD608,TD!$J$70:$K$93,2,0)," ")</f>
        <v>N/A</v>
      </c>
      <c r="AG608" s="130" t="s">
        <v>332</v>
      </c>
      <c r="AH608" s="181" t="s">
        <v>194</v>
      </c>
      <c r="AI608" s="184" t="str">
        <f>CONCATENATE(PAA[[#This Row],[Id Interno]],"-",PAA[[#This Row],[tipo de Contrato (TH talento humano - B/S bienes y/o servicios)]],"-",S608,"-",T608,"-",PAA[[#This Row],[Objeto de la contratación]])</f>
        <v>20260600-BS-No a-li-Adición y prórroga No. 2 al contrato 597 de 2025  que tiene como objeto " Contratar la prestación del servicio de aseo y cafetería incluido insumos para la UAE Cuerpo Oficial de Bomberos -SGC</v>
      </c>
    </row>
    <row r="609" spans="2:35" ht="72" customHeight="1" x14ac:dyDescent="0.35">
      <c r="B609" s="146">
        <v>20260601</v>
      </c>
      <c r="C609" s="117" t="s">
        <v>977</v>
      </c>
      <c r="D609" s="117" t="s">
        <v>92</v>
      </c>
      <c r="E609" s="117" t="s">
        <v>402</v>
      </c>
      <c r="F609" s="117" t="s">
        <v>89</v>
      </c>
      <c r="G609" s="126" t="s">
        <v>376</v>
      </c>
      <c r="H609" s="147">
        <v>0</v>
      </c>
      <c r="I609" s="147">
        <v>0</v>
      </c>
      <c r="J609" s="130">
        <v>22554375</v>
      </c>
      <c r="K609" s="148" t="s">
        <v>398</v>
      </c>
      <c r="L609" s="177" t="s">
        <v>155</v>
      </c>
      <c r="M609" s="186" t="s">
        <v>422</v>
      </c>
      <c r="N609" s="117" t="s">
        <v>197</v>
      </c>
      <c r="O609" s="156" t="s">
        <v>886</v>
      </c>
      <c r="P609" s="186" t="s">
        <v>348</v>
      </c>
      <c r="Q609" s="149" t="s">
        <v>888</v>
      </c>
      <c r="R609" s="186" t="s">
        <v>207</v>
      </c>
      <c r="S609" s="174" t="str">
        <f>MID(PAA[[#This Row],[Meta Proyecto de Inversión]],1,4)</f>
        <v>8126</v>
      </c>
      <c r="T609" s="174" t="str">
        <f>MID(PAA[[#This Row],[Meta Proyecto de Inversión]],6,2)</f>
        <v>8-</v>
      </c>
      <c r="U609" s="187" t="str">
        <f>IFERROR(VLOOKUP(N609,TD!$B$54:$F$58,2,0)," ")</f>
        <v>O230117</v>
      </c>
      <c r="V609" s="187" t="str">
        <f>IFERROR(VLOOKUP(N609,TD!$B$54:$F$58,3,0)," ")</f>
        <v>4599</v>
      </c>
      <c r="W609" s="187">
        <f>IFERROR(VLOOKUP(N609,TD!$B$54:$F$58,4,0)," ")</f>
        <v>20240207</v>
      </c>
      <c r="X609" s="186" t="s">
        <v>174</v>
      </c>
      <c r="Y609" s="172" t="str">
        <f>IFERROR(VLOOKUP(X609,TD!$J$55:$K$68,2,0)," ")</f>
        <v>Infraestructura física, mantenimiento y dotación (Sedes construidas, mantenidas reforzadas)</v>
      </c>
      <c r="Z609" s="180" t="str">
        <f>CONCATENATE(X609,"-",Y609)</f>
        <v>08-Infraestructura física, mantenimiento y dotación (Sedes construidas, mantenidas reforzadas)</v>
      </c>
      <c r="AA609" s="186" t="s">
        <v>227</v>
      </c>
      <c r="AB609" s="172" t="str">
        <f>IFERROR(VLOOKUP(AA609,TD!$N$55:$O$70,2,0)," ")</f>
        <v>Sedes mantenidas</v>
      </c>
      <c r="AC609" s="180" t="str">
        <f>CONCATENATE(AA609,"_",AB609)</f>
        <v>016_Sedes mantenidas</v>
      </c>
      <c r="AD609" s="180" t="str">
        <f>CONCATENATE(Z609," ",AC609)</f>
        <v>08-Infraestructura física, mantenimiento y dotación (Sedes construidas, mantenidas reforzadas) 016_Sedes mantenidas</v>
      </c>
      <c r="AE609" s="187" t="str">
        <f>CONCATENATE(U609,V609,W609,X609,AA609)</f>
        <v>O23011745992024020708016</v>
      </c>
      <c r="AF609" s="172" t="str">
        <f>IFERROR(VLOOKUP(AD609,TD!$J$70:$K$93,2,0)," ")</f>
        <v>PM/0131/0108/45990160207</v>
      </c>
      <c r="AG609" s="130" t="s">
        <v>868</v>
      </c>
      <c r="AH609" s="188" t="s">
        <v>194</v>
      </c>
      <c r="AI609" s="184" t="str">
        <f>CONCATENATE(PAA[[#This Row],[Id Interno]],"-",PAA[[#This Row],[tipo de Contrato (TH talento humano - B/S bienes y/o servicios)]],"-",S609,"-",T609,"-",PAA[[#This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610" spans="2:35" ht="72" customHeight="1" x14ac:dyDescent="0.35">
      <c r="B610" s="146">
        <v>20260602</v>
      </c>
      <c r="C610" s="117" t="s">
        <v>652</v>
      </c>
      <c r="D610" s="117" t="s">
        <v>105</v>
      </c>
      <c r="E610" s="117" t="s">
        <v>363</v>
      </c>
      <c r="F610" s="117" t="s">
        <v>144</v>
      </c>
      <c r="G610" s="126" t="s">
        <v>373</v>
      </c>
      <c r="H610" s="147">
        <v>4</v>
      </c>
      <c r="I610" s="147">
        <v>0</v>
      </c>
      <c r="J610" s="130">
        <v>20644348</v>
      </c>
      <c r="K610" s="148" t="s">
        <v>398</v>
      </c>
      <c r="L610" s="177" t="s">
        <v>155</v>
      </c>
      <c r="M610" s="186" t="s">
        <v>422</v>
      </c>
      <c r="N610" s="117" t="s">
        <v>197</v>
      </c>
      <c r="O610" s="156" t="s">
        <v>886</v>
      </c>
      <c r="P610" s="186" t="s">
        <v>348</v>
      </c>
      <c r="Q610" s="149" t="s">
        <v>725</v>
      </c>
      <c r="R610" s="186" t="s">
        <v>208</v>
      </c>
      <c r="S610" s="174" t="str">
        <f>MID(PAA[[#This Row],[Meta Proyecto de Inversión]],1,4)</f>
        <v>8126</v>
      </c>
      <c r="T610" s="174" t="str">
        <f>MID(PAA[[#This Row],[Meta Proyecto de Inversión]],6,2)</f>
        <v>9-</v>
      </c>
      <c r="U610" s="187" t="str">
        <f>IFERROR(VLOOKUP(N610,TD!$B$54:$F$58,2,0)," ")</f>
        <v>O230117</v>
      </c>
      <c r="V610" s="187" t="str">
        <f>IFERROR(VLOOKUP(N610,TD!$B$54:$F$58,3,0)," ")</f>
        <v>4599</v>
      </c>
      <c r="W610" s="187">
        <f>IFERROR(VLOOKUP(N610,TD!$B$54:$F$58,4,0)," ")</f>
        <v>20240207</v>
      </c>
      <c r="X610" s="186" t="s">
        <v>174</v>
      </c>
      <c r="Y610" s="172" t="str">
        <f>IFERROR(VLOOKUP(X610,TD!$J$55:$K$68,2,0)," ")</f>
        <v>Infraestructura física, mantenimiento y dotación (Sedes construidas, mantenidas reforzadas)</v>
      </c>
      <c r="Z610" s="180" t="str">
        <f>CONCATENATE(X610,"-",Y610)</f>
        <v>08-Infraestructura física, mantenimiento y dotación (Sedes construidas, mantenidas reforzadas)</v>
      </c>
      <c r="AA610" s="186" t="s">
        <v>227</v>
      </c>
      <c r="AB610" s="172" t="str">
        <f>IFERROR(VLOOKUP(AA610,TD!$N$55:$O$70,2,0)," ")</f>
        <v>Sedes mantenidas</v>
      </c>
      <c r="AC610" s="180" t="str">
        <f>CONCATENATE(AA610,"_",AB610)</f>
        <v>016_Sedes mantenidas</v>
      </c>
      <c r="AD610" s="180" t="str">
        <f>CONCATENATE(Z610," ",AC610)</f>
        <v>08-Infraestructura física, mantenimiento y dotación (Sedes construidas, mantenidas reforzadas) 016_Sedes mantenidas</v>
      </c>
      <c r="AE610" s="187" t="str">
        <f>CONCATENATE(U610,V610,W610,X610,AA610)</f>
        <v>O23011745992024020708016</v>
      </c>
      <c r="AF610" s="172" t="str">
        <f>IFERROR(VLOOKUP(AD610,TD!$J$70:$K$93,2,0)," ")</f>
        <v>PM/0131/0108/45990160207</v>
      </c>
      <c r="AG610" s="130" t="s">
        <v>385</v>
      </c>
      <c r="AH610" s="188" t="s">
        <v>193</v>
      </c>
      <c r="AI610" s="184" t="str">
        <f>CONCATENATE(PAA[[#This Row],[Id Interno]],"-",PAA[[#This Row],[tipo de Contrato (TH talento humano - B/S bienes y/o servicios)]],"-",S610,"-",T610,"-",PAA[[#This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611" spans="2:35" ht="70" x14ac:dyDescent="0.35">
      <c r="B611" s="146">
        <v>20260603</v>
      </c>
      <c r="C611" s="117" t="s">
        <v>891</v>
      </c>
      <c r="D611" s="117" t="s">
        <v>92</v>
      </c>
      <c r="E611" s="117" t="s">
        <v>402</v>
      </c>
      <c r="F611" s="117" t="s">
        <v>111</v>
      </c>
      <c r="G611" s="126" t="s">
        <v>377</v>
      </c>
      <c r="H611" s="147">
        <v>4</v>
      </c>
      <c r="I611" s="147">
        <v>0</v>
      </c>
      <c r="J611" s="130">
        <v>30000000</v>
      </c>
      <c r="K611" s="148" t="s">
        <v>398</v>
      </c>
      <c r="L611" s="177" t="s">
        <v>155</v>
      </c>
      <c r="M611" s="186" t="s">
        <v>422</v>
      </c>
      <c r="N611" s="117" t="s">
        <v>198</v>
      </c>
      <c r="O611" s="186" t="s">
        <v>887</v>
      </c>
      <c r="P611" s="186" t="s">
        <v>348</v>
      </c>
      <c r="Q611" s="149" t="s">
        <v>1050</v>
      </c>
      <c r="R611" s="186" t="s">
        <v>351</v>
      </c>
      <c r="S611" s="174" t="str">
        <f>MID(PAA[[#This Row],[Meta Proyecto de Inversión]],1,4)</f>
        <v>8173</v>
      </c>
      <c r="T611" s="174" t="str">
        <f>MID(PAA[[#This Row],[Meta Proyecto de Inversión]],6,2)</f>
        <v>11</v>
      </c>
      <c r="U611" s="187" t="str">
        <f>IFERROR(VLOOKUP(N611,TD!$B$54:$F$58,2,0)," ")</f>
        <v>O230117</v>
      </c>
      <c r="V611" s="187" t="str">
        <f>IFERROR(VLOOKUP(N611,TD!$B$54:$F$58,3,0)," ")</f>
        <v>4503</v>
      </c>
      <c r="W611" s="187">
        <f>IFERROR(VLOOKUP(N611,TD!$B$54:$F$58,4,0)," ")</f>
        <v>20240255</v>
      </c>
      <c r="X611" s="186">
        <v>14</v>
      </c>
      <c r="Y611" s="172" t="str">
        <f>IFERROR(VLOOKUP(X611,TD!$J$55:$K$68,2,0)," ")</f>
        <v xml:space="preserve">Infraestructura física misional construida mantenida y dotada </v>
      </c>
      <c r="Z611" s="180" t="str">
        <f>CONCATENATE(X611,"-",Y611)</f>
        <v xml:space="preserve">14-Infraestructura física misional construida mantenida y dotada </v>
      </c>
      <c r="AA611" s="186" t="s">
        <v>225</v>
      </c>
      <c r="AB611" s="172" t="str">
        <f>IFERROR(VLOOKUP(AA611,TD!$N$55:$O$70,2,0)," ")</f>
        <v>Estaciones de bomberos adecuadas</v>
      </c>
      <c r="AC611" s="180" t="str">
        <f>CONCATENATE(AA611,"_",AB611)</f>
        <v>014_Estaciones de bomberos adecuadas</v>
      </c>
      <c r="AD611" s="180" t="str">
        <f>CONCATENATE(Z611," ",AC611)</f>
        <v>14-Infraestructura física misional construida mantenida y dotada  014_Estaciones de bomberos adecuadas</v>
      </c>
      <c r="AE611" s="187" t="str">
        <f>CONCATENATE(U611,V611,W611,X611,AA611)</f>
        <v>O23011745032024025514014</v>
      </c>
      <c r="AF611" s="172" t="str">
        <f>IFERROR(VLOOKUP(AD611,TD!$J$70:$K$93,2,0)," ")</f>
        <v>PM/0131/0114/45030140255</v>
      </c>
      <c r="AG611" s="130" t="s">
        <v>353</v>
      </c>
      <c r="AH611" s="188" t="s">
        <v>193</v>
      </c>
      <c r="AI611" s="184" t="str">
        <f>CONCATENATE(PAA[[#This Row],[Id Interno]],"-",PAA[[#This Row],[tipo de Contrato (TH talento humano - B/S bienes y/o servicios)]],"-",S611,"-",T611,"-",PAA[[#This Row],[Objeto de la contratación]])</f>
        <v>20260603-BS-8173-11-Suministro de banderas y accesorios para las sedes UAECOB-SGC</v>
      </c>
    </row>
    <row r="612" spans="2:35" ht="114" customHeight="1" x14ac:dyDescent="0.35">
      <c r="B612" s="137">
        <v>20260604</v>
      </c>
      <c r="C612" s="117" t="s">
        <v>894</v>
      </c>
      <c r="D612" s="125" t="s">
        <v>105</v>
      </c>
      <c r="E612" s="125" t="s">
        <v>363</v>
      </c>
      <c r="F612" s="125" t="s">
        <v>144</v>
      </c>
      <c r="G612" s="126" t="s">
        <v>374</v>
      </c>
      <c r="H612" s="132">
        <v>10</v>
      </c>
      <c r="I612" s="132">
        <v>0</v>
      </c>
      <c r="J612" s="127">
        <v>50000000</v>
      </c>
      <c r="K612" s="128" t="s">
        <v>398</v>
      </c>
      <c r="L612" s="176" t="s">
        <v>46</v>
      </c>
      <c r="M612" s="174" t="s">
        <v>1228</v>
      </c>
      <c r="N612" s="125" t="s">
        <v>197</v>
      </c>
      <c r="O612" s="186" t="s">
        <v>886</v>
      </c>
      <c r="P612" s="174" t="s">
        <v>348</v>
      </c>
      <c r="Q612" s="129">
        <v>80111600</v>
      </c>
      <c r="R612" s="174" t="s">
        <v>208</v>
      </c>
      <c r="S612" s="174" t="str">
        <f>MID(PAA[[#This Row],[Meta Proyecto de Inversión]],1,4)</f>
        <v>8126</v>
      </c>
      <c r="T612" s="166" t="str">
        <f>MID(PAA[[#This Row],[Meta Proyecto de Inversión]],6,2)</f>
        <v>9-</v>
      </c>
      <c r="U612" s="179" t="str">
        <f>IFERROR(VLOOKUP(N612,TD!$B$54:$F$58,2,0)," ")</f>
        <v>O230117</v>
      </c>
      <c r="V612" s="179" t="str">
        <f>IFERROR(VLOOKUP(N612,TD!$B$54:$F$58,3,0)," ")</f>
        <v>4599</v>
      </c>
      <c r="W612" s="179">
        <f>IFERROR(VLOOKUP(N612,TD!$B$54:$F$58,4,0)," ")</f>
        <v>20240207</v>
      </c>
      <c r="X612" s="186" t="s">
        <v>174</v>
      </c>
      <c r="Y612" s="172" t="str">
        <f>IFERROR(VLOOKUP(X612,TD!$J$55:$K$68,2,0)," ")</f>
        <v>Infraestructura física, mantenimiento y dotación (Sedes construidas, mantenidas reforzadas)</v>
      </c>
      <c r="Z612" s="180" t="str">
        <f>CONCATENATE(X612,"-",Y612)</f>
        <v>08-Infraestructura física, mantenimiento y dotación (Sedes construidas, mantenidas reforzadas)</v>
      </c>
      <c r="AA612" s="186" t="s">
        <v>227</v>
      </c>
      <c r="AB612" s="172" t="str">
        <f>IFERROR(VLOOKUP(AA612,TD!$N$55:$O$70,2,0)," ")</f>
        <v>Sedes mantenidas</v>
      </c>
      <c r="AC612" s="180" t="str">
        <f>CONCATENATE(AA612,"_",AB612)</f>
        <v>016_Sedes mantenidas</v>
      </c>
      <c r="AD612" s="180" t="str">
        <f>CONCATENATE(Z612," ",AC612)</f>
        <v>08-Infraestructura física, mantenimiento y dotación (Sedes construidas, mantenidas reforzadas) 016_Sedes mantenidas</v>
      </c>
      <c r="AE612" s="179" t="str">
        <f>CONCATENATE(U612,V612,W612,X612,AA612)</f>
        <v>O23011745992024020708016</v>
      </c>
      <c r="AF612" s="172" t="str">
        <f>IFERROR(VLOOKUP(AD612,TD!$J$70:$K$93,2,0)," ")</f>
        <v>PM/0131/0108/45990160207</v>
      </c>
      <c r="AG612" s="130" t="s">
        <v>385</v>
      </c>
      <c r="AH612" s="181" t="s">
        <v>193</v>
      </c>
      <c r="AI612" s="184" t="str">
        <f>CONCATENATE(PAA[[#This Row],[Id Interno]],"-",PAA[[#This Row],[tipo de Contrato (TH talento humano - B/S bienes y/o servicios)]],"-",S612,"-",T612,"-",PAA[[#This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613" spans="2:35" ht="56" x14ac:dyDescent="0.35">
      <c r="B613" s="137">
        <v>20260605</v>
      </c>
      <c r="C613" s="117" t="s">
        <v>895</v>
      </c>
      <c r="D613" s="125" t="s">
        <v>105</v>
      </c>
      <c r="E613" s="125" t="s">
        <v>363</v>
      </c>
      <c r="F613" s="125" t="s">
        <v>144</v>
      </c>
      <c r="G613" s="126" t="s">
        <v>374</v>
      </c>
      <c r="H613" s="132">
        <v>5</v>
      </c>
      <c r="I613" s="132">
        <v>15</v>
      </c>
      <c r="J613" s="127">
        <v>53900000</v>
      </c>
      <c r="K613" s="128" t="s">
        <v>398</v>
      </c>
      <c r="L613" s="176" t="s">
        <v>45</v>
      </c>
      <c r="M613" s="174" t="s">
        <v>401</v>
      </c>
      <c r="N613" s="125" t="s">
        <v>197</v>
      </c>
      <c r="O613" s="186" t="s">
        <v>886</v>
      </c>
      <c r="P613" s="174" t="s">
        <v>348</v>
      </c>
      <c r="Q613" s="129">
        <v>80111600</v>
      </c>
      <c r="R613" s="174" t="s">
        <v>208</v>
      </c>
      <c r="S613" s="174" t="str">
        <f>MID(PAA[[#This Row],[Meta Proyecto de Inversión]],1,4)</f>
        <v>8126</v>
      </c>
      <c r="T613" s="174" t="str">
        <f>MID(PAA[[#This Row],[Meta Proyecto de Inversión]],6,2)</f>
        <v>9-</v>
      </c>
      <c r="U613" s="179" t="str">
        <f>IFERROR(VLOOKUP(N613,TD!$B$54:$F$58,2,0)," ")</f>
        <v>O230117</v>
      </c>
      <c r="V613" s="179" t="str">
        <f>IFERROR(VLOOKUP(N613,TD!$B$54:$F$58,3,0)," ")</f>
        <v>4599</v>
      </c>
      <c r="W613" s="179">
        <f>IFERROR(VLOOKUP(N613,TD!$B$54:$F$58,4,0)," ")</f>
        <v>20240207</v>
      </c>
      <c r="X613" s="186" t="s">
        <v>174</v>
      </c>
      <c r="Y613" s="172" t="str">
        <f>IFERROR(VLOOKUP(X613,TD!$J$55:$K$68,2,0)," ")</f>
        <v>Infraestructura física, mantenimiento y dotación (Sedes construidas, mantenidas reforzadas)</v>
      </c>
      <c r="Z613" s="180" t="str">
        <f>CONCATENATE(X613,"-",Y613)</f>
        <v>08-Infraestructura física, mantenimiento y dotación (Sedes construidas, mantenidas reforzadas)</v>
      </c>
      <c r="AA613" s="186" t="s">
        <v>227</v>
      </c>
      <c r="AB613" s="172" t="str">
        <f>IFERROR(VLOOKUP(AA613,TD!$N$55:$O$70,2,0)," ")</f>
        <v>Sedes mantenidas</v>
      </c>
      <c r="AC613" s="180" t="str">
        <f>CONCATENATE(AA613,"_",AB613)</f>
        <v>016_Sedes mantenidas</v>
      </c>
      <c r="AD613" s="180" t="str">
        <f>CONCATENATE(Z613," ",AC613)</f>
        <v>08-Infraestructura física, mantenimiento y dotación (Sedes construidas, mantenidas reforzadas) 016_Sedes mantenidas</v>
      </c>
      <c r="AE613" s="179" t="str">
        <f>CONCATENATE(U613,V613,W613,X613,AA613)</f>
        <v>O23011745992024020708016</v>
      </c>
      <c r="AF613" s="167" t="str">
        <f>IFERROR(VLOOKUP(AD613,TD!$J$70:$K$93,2,0)," ")</f>
        <v>PM/0131/0108/45990160207</v>
      </c>
      <c r="AG613" s="130" t="s">
        <v>385</v>
      </c>
      <c r="AH613" s="181" t="s">
        <v>194</v>
      </c>
      <c r="AI613" s="184" t="str">
        <f>CONCATENATE(PAA[[#This Row],[Id Interno]],"-",PAA[[#This Row],[tipo de Contrato (TH talento humano - B/S bienes y/o servicios)]],"-",S613,"-",T613,"-",PAA[[#This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614" spans="2:35" ht="70" x14ac:dyDescent="0.35">
      <c r="B614" s="137">
        <v>20260606</v>
      </c>
      <c r="C614" s="117" t="s">
        <v>896</v>
      </c>
      <c r="D614" s="125" t="s">
        <v>105</v>
      </c>
      <c r="E614" s="125" t="s">
        <v>363</v>
      </c>
      <c r="F614" s="125" t="s">
        <v>144</v>
      </c>
      <c r="G614" s="126" t="s">
        <v>374</v>
      </c>
      <c r="H614" s="132">
        <v>5</v>
      </c>
      <c r="I614" s="132">
        <v>0</v>
      </c>
      <c r="J614" s="127">
        <v>45000000</v>
      </c>
      <c r="K614" s="128" t="s">
        <v>398</v>
      </c>
      <c r="L614" s="176" t="s">
        <v>45</v>
      </c>
      <c r="M614" s="174" t="s">
        <v>401</v>
      </c>
      <c r="N614" s="125" t="s">
        <v>197</v>
      </c>
      <c r="O614" s="186" t="s">
        <v>886</v>
      </c>
      <c r="P614" s="174" t="s">
        <v>348</v>
      </c>
      <c r="Q614" s="129">
        <v>80111600</v>
      </c>
      <c r="R614" s="174" t="s">
        <v>208</v>
      </c>
      <c r="S614" s="174" t="str">
        <f>MID(PAA[[#This Row],[Meta Proyecto de Inversión]],1,4)</f>
        <v>8126</v>
      </c>
      <c r="T614" s="174" t="str">
        <f>MID(PAA[[#This Row],[Meta Proyecto de Inversión]],6,2)</f>
        <v>9-</v>
      </c>
      <c r="U614" s="179" t="str">
        <f>IFERROR(VLOOKUP(N614,TD!$B$54:$F$58,2,0)," ")</f>
        <v>O230117</v>
      </c>
      <c r="V614" s="179" t="str">
        <f>IFERROR(VLOOKUP(N614,TD!$B$54:$F$58,3,0)," ")</f>
        <v>4599</v>
      </c>
      <c r="W614" s="179">
        <f>IFERROR(VLOOKUP(N614,TD!$B$54:$F$58,4,0)," ")</f>
        <v>20240207</v>
      </c>
      <c r="X614" s="186" t="s">
        <v>174</v>
      </c>
      <c r="Y614" s="172" t="str">
        <f>IFERROR(VLOOKUP(X614,TD!$J$55:$K$68,2,0)," ")</f>
        <v>Infraestructura física, mantenimiento y dotación (Sedes construidas, mantenidas reforzadas)</v>
      </c>
      <c r="Z614" s="180" t="str">
        <f>CONCATENATE(X614,"-",Y614)</f>
        <v>08-Infraestructura física, mantenimiento y dotación (Sedes construidas, mantenidas reforzadas)</v>
      </c>
      <c r="AA614" s="186" t="s">
        <v>227</v>
      </c>
      <c r="AB614" s="172" t="str">
        <f>IFERROR(VLOOKUP(AA614,TD!$N$55:$O$70,2,0)," ")</f>
        <v>Sedes mantenidas</v>
      </c>
      <c r="AC614" s="180" t="str">
        <f>CONCATENATE(AA614,"_",AB614)</f>
        <v>016_Sedes mantenidas</v>
      </c>
      <c r="AD614" s="180" t="str">
        <f>CONCATENATE(Z614," ",AC614)</f>
        <v>08-Infraestructura física, mantenimiento y dotación (Sedes construidas, mantenidas reforzadas) 016_Sedes mantenidas</v>
      </c>
      <c r="AE614" s="179" t="str">
        <f>CONCATENATE(U614,V614,W614,X614,AA614)</f>
        <v>O23011745992024020708016</v>
      </c>
      <c r="AF614" s="167" t="str">
        <f>IFERROR(VLOOKUP(AD614,TD!$J$70:$K$93,2,0)," ")</f>
        <v>PM/0131/0108/45990160207</v>
      </c>
      <c r="AG614" s="130" t="s">
        <v>385</v>
      </c>
      <c r="AH614" s="181" t="s">
        <v>194</v>
      </c>
      <c r="AI614" s="184" t="str">
        <f>CONCATENATE(PAA[[#This Row],[Id Interno]],"-",PAA[[#This Row],[tipo de Contrato (TH talento humano - B/S bienes y/o servicios)]],"-",S614,"-",T614,"-",PAA[[#This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615" spans="2:35" ht="104" customHeight="1" x14ac:dyDescent="0.35">
      <c r="B615" s="137">
        <v>20260607</v>
      </c>
      <c r="C615" s="117" t="s">
        <v>897</v>
      </c>
      <c r="D615" s="125" t="s">
        <v>105</v>
      </c>
      <c r="E615" s="125" t="s">
        <v>363</v>
      </c>
      <c r="F615" s="125" t="s">
        <v>144</v>
      </c>
      <c r="G615" s="126" t="s">
        <v>374</v>
      </c>
      <c r="H615" s="132">
        <v>5</v>
      </c>
      <c r="I615" s="132">
        <v>0</v>
      </c>
      <c r="J615" s="127">
        <v>30000000</v>
      </c>
      <c r="K615" s="128" t="s">
        <v>398</v>
      </c>
      <c r="L615" s="176" t="s">
        <v>150</v>
      </c>
      <c r="M615" s="174" t="s">
        <v>401</v>
      </c>
      <c r="N615" s="125" t="s">
        <v>197</v>
      </c>
      <c r="O615" s="186" t="s">
        <v>886</v>
      </c>
      <c r="P615" s="174" t="s">
        <v>348</v>
      </c>
      <c r="Q615" s="129">
        <v>80111600</v>
      </c>
      <c r="R615" s="174" t="s">
        <v>209</v>
      </c>
      <c r="S615" s="174" t="str">
        <f>MID(PAA[[#This Row],[Meta Proyecto de Inversión]],1,4)</f>
        <v>8126</v>
      </c>
      <c r="T615" s="174" t="str">
        <f>MID(PAA[[#This Row],[Meta Proyecto de Inversión]],6,2)</f>
        <v>10</v>
      </c>
      <c r="U615" s="179" t="str">
        <f>IFERROR(VLOOKUP(N615,TD!$B$54:$F$58,2,0)," ")</f>
        <v>O230117</v>
      </c>
      <c r="V615" s="179" t="str">
        <f>IFERROR(VLOOKUP(N615,TD!$B$54:$F$58,3,0)," ")</f>
        <v>4599</v>
      </c>
      <c r="W615" s="179">
        <f>IFERROR(VLOOKUP(N615,TD!$B$54:$F$58,4,0)," ")</f>
        <v>20240207</v>
      </c>
      <c r="X615" s="186" t="s">
        <v>182</v>
      </c>
      <c r="Y615" s="172" t="str">
        <f>IFERROR(VLOOKUP(X615,TD!$J$55:$K$68,2,0)," ")</f>
        <v>Servicios para la planeación y sistemas de gestión y comunicación estratégica</v>
      </c>
      <c r="Z615" s="180" t="str">
        <f>CONCATENATE(X615,"-",Y615)</f>
        <v>13-Servicios para la planeación y sistemas de gestión y comunicación estratégica</v>
      </c>
      <c r="AA615" s="186" t="s">
        <v>231</v>
      </c>
      <c r="AB615" s="172" t="str">
        <f>IFERROR(VLOOKUP(AA615,TD!$N$55:$O$70,2,0)," ")</f>
        <v>Documentos de planeación</v>
      </c>
      <c r="AC615" s="180" t="str">
        <f>CONCATENATE(AA615,"_",AB615)</f>
        <v>019_Documentos de planeación</v>
      </c>
      <c r="AD615" s="180" t="str">
        <f>CONCATENATE(Z615," ",AC615)</f>
        <v>13-Servicios para la planeación y sistemas de gestión y comunicación estratégica 019_Documentos de planeación</v>
      </c>
      <c r="AE615" s="179" t="str">
        <f>CONCATENATE(U615,V615,W615,X615,AA615)</f>
        <v>O23011745992024020713019</v>
      </c>
      <c r="AF615" s="167" t="str">
        <f>IFERROR(VLOOKUP(AD615,TD!$J$70:$K$93,2,0)," ")</f>
        <v>PM/0131/0113/45990190207</v>
      </c>
      <c r="AG615" s="130" t="s">
        <v>385</v>
      </c>
      <c r="AH615" s="181" t="s">
        <v>194</v>
      </c>
      <c r="AI615" s="184" t="str">
        <f>CONCATENATE(PAA[[#This Row],[Id Interno]],"-",PAA[[#This Row],[tipo de Contrato (TH talento humano - B/S bienes y/o servicios)]],"-",S615,"-",T615,"-",PAA[[#This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616" spans="2:35" ht="70" x14ac:dyDescent="0.35">
      <c r="B616" s="137">
        <v>20260608</v>
      </c>
      <c r="C616" s="117" t="s">
        <v>898</v>
      </c>
      <c r="D616" s="125" t="s">
        <v>105</v>
      </c>
      <c r="E616" s="125" t="s">
        <v>363</v>
      </c>
      <c r="F616" s="125" t="s">
        <v>144</v>
      </c>
      <c r="G616" s="126" t="s">
        <v>374</v>
      </c>
      <c r="H616" s="132">
        <v>5</v>
      </c>
      <c r="I616" s="132">
        <v>0</v>
      </c>
      <c r="J616" s="127">
        <v>22000000</v>
      </c>
      <c r="K616" s="128" t="s">
        <v>398</v>
      </c>
      <c r="L616" s="176" t="s">
        <v>150</v>
      </c>
      <c r="M616" s="174" t="s">
        <v>401</v>
      </c>
      <c r="N616" s="125" t="s">
        <v>197</v>
      </c>
      <c r="O616" s="186" t="s">
        <v>886</v>
      </c>
      <c r="P616" s="174" t="s">
        <v>348</v>
      </c>
      <c r="Q616" s="129">
        <v>80111600</v>
      </c>
      <c r="R616" s="174" t="s">
        <v>209</v>
      </c>
      <c r="S616" s="174" t="str">
        <f>MID(PAA[[#This Row],[Meta Proyecto de Inversión]],1,4)</f>
        <v>8126</v>
      </c>
      <c r="T616" s="174" t="str">
        <f>MID(PAA[[#This Row],[Meta Proyecto de Inversión]],6,2)</f>
        <v>10</v>
      </c>
      <c r="U616" s="179" t="str">
        <f>IFERROR(VLOOKUP(N616,TD!$B$54:$F$58,2,0)," ")</f>
        <v>O230117</v>
      </c>
      <c r="V616" s="179" t="str">
        <f>IFERROR(VLOOKUP(N616,TD!$B$54:$F$58,3,0)," ")</f>
        <v>4599</v>
      </c>
      <c r="W616" s="179">
        <f>IFERROR(VLOOKUP(N616,TD!$B$54:$F$58,4,0)," ")</f>
        <v>20240207</v>
      </c>
      <c r="X616" s="186" t="s">
        <v>182</v>
      </c>
      <c r="Y616" s="172" t="str">
        <f>IFERROR(VLOOKUP(X616,TD!$J$55:$K$68,2,0)," ")</f>
        <v>Servicios para la planeación y sistemas de gestión y comunicación estratégica</v>
      </c>
      <c r="Z616" s="180" t="str">
        <f>CONCATENATE(X616,"-",Y616)</f>
        <v>13-Servicios para la planeación y sistemas de gestión y comunicación estratégica</v>
      </c>
      <c r="AA616" s="186" t="s">
        <v>231</v>
      </c>
      <c r="AB616" s="172" t="str">
        <f>IFERROR(VLOOKUP(AA616,TD!$N$55:$O$70,2,0)," ")</f>
        <v>Documentos de planeación</v>
      </c>
      <c r="AC616" s="180" t="str">
        <f>CONCATENATE(AA616,"_",AB616)</f>
        <v>019_Documentos de planeación</v>
      </c>
      <c r="AD616" s="180" t="str">
        <f>CONCATENATE(Z616," ",AC616)</f>
        <v>13-Servicios para la planeación y sistemas de gestión y comunicación estratégica 019_Documentos de planeación</v>
      </c>
      <c r="AE616" s="179" t="str">
        <f>CONCATENATE(U616,V616,W616,X616,AA616)</f>
        <v>O23011745992024020713019</v>
      </c>
      <c r="AF616" s="167" t="str">
        <f>IFERROR(VLOOKUP(AD616,TD!$J$70:$K$93,2,0)," ")</f>
        <v>PM/0131/0113/45990190207</v>
      </c>
      <c r="AG616" s="130" t="s">
        <v>385</v>
      </c>
      <c r="AH616" s="181" t="s">
        <v>194</v>
      </c>
      <c r="AI616" s="184" t="str">
        <f>CONCATENATE(PAA[[#This Row],[Id Interno]],"-",PAA[[#This Row],[tipo de Contrato (TH talento humano - B/S bienes y/o servicios)]],"-",S616,"-",T616,"-",PAA[[#This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617" spans="2:35" ht="70" x14ac:dyDescent="0.35">
      <c r="B617" s="137">
        <v>20260609</v>
      </c>
      <c r="C617" s="117" t="s">
        <v>899</v>
      </c>
      <c r="D617" s="125" t="s">
        <v>105</v>
      </c>
      <c r="E617" s="125" t="s">
        <v>363</v>
      </c>
      <c r="F617" s="125" t="s">
        <v>144</v>
      </c>
      <c r="G617" s="126" t="s">
        <v>374</v>
      </c>
      <c r="H617" s="132">
        <v>5</v>
      </c>
      <c r="I617" s="132">
        <v>0</v>
      </c>
      <c r="J617" s="127">
        <v>22000000</v>
      </c>
      <c r="K617" s="128" t="s">
        <v>398</v>
      </c>
      <c r="L617" s="176" t="s">
        <v>150</v>
      </c>
      <c r="M617" s="174" t="s">
        <v>401</v>
      </c>
      <c r="N617" s="125" t="s">
        <v>197</v>
      </c>
      <c r="O617" s="186" t="s">
        <v>886</v>
      </c>
      <c r="P617" s="174" t="s">
        <v>348</v>
      </c>
      <c r="Q617" s="129">
        <v>80111600</v>
      </c>
      <c r="R617" s="174" t="s">
        <v>209</v>
      </c>
      <c r="S617" s="174" t="str">
        <f>MID(PAA[[#This Row],[Meta Proyecto de Inversión]],1,4)</f>
        <v>8126</v>
      </c>
      <c r="T617" s="174" t="str">
        <f>MID(PAA[[#This Row],[Meta Proyecto de Inversión]],6,2)</f>
        <v>10</v>
      </c>
      <c r="U617" s="179" t="str">
        <f>IFERROR(VLOOKUP(N617,TD!$B$54:$F$58,2,0)," ")</f>
        <v>O230117</v>
      </c>
      <c r="V617" s="179" t="str">
        <f>IFERROR(VLOOKUP(N617,TD!$B$54:$F$58,3,0)," ")</f>
        <v>4599</v>
      </c>
      <c r="W617" s="179">
        <f>IFERROR(VLOOKUP(N617,TD!$B$54:$F$58,4,0)," ")</f>
        <v>20240207</v>
      </c>
      <c r="X617" s="186" t="s">
        <v>182</v>
      </c>
      <c r="Y617" s="172" t="str">
        <f>IFERROR(VLOOKUP(X617,TD!$J$55:$K$68,2,0)," ")</f>
        <v>Servicios para la planeación y sistemas de gestión y comunicación estratégica</v>
      </c>
      <c r="Z617" s="180" t="str">
        <f>CONCATENATE(X617,"-",Y617)</f>
        <v>13-Servicios para la planeación y sistemas de gestión y comunicación estratégica</v>
      </c>
      <c r="AA617" s="186" t="s">
        <v>231</v>
      </c>
      <c r="AB617" s="172" t="str">
        <f>IFERROR(VLOOKUP(AA617,TD!$N$55:$O$70,2,0)," ")</f>
        <v>Documentos de planeación</v>
      </c>
      <c r="AC617" s="180" t="str">
        <f>CONCATENATE(AA617,"_",AB617)</f>
        <v>019_Documentos de planeación</v>
      </c>
      <c r="AD617" s="180" t="str">
        <f>CONCATENATE(Z617," ",AC617)</f>
        <v>13-Servicios para la planeación y sistemas de gestión y comunicación estratégica 019_Documentos de planeación</v>
      </c>
      <c r="AE617" s="179" t="str">
        <f>CONCATENATE(U617,V617,W617,X617,AA617)</f>
        <v>O23011745992024020713019</v>
      </c>
      <c r="AF617" s="167" t="str">
        <f>IFERROR(VLOOKUP(AD617,TD!$J$70:$K$93,2,0)," ")</f>
        <v>PM/0131/0113/45990190207</v>
      </c>
      <c r="AG617" s="130" t="s">
        <v>385</v>
      </c>
      <c r="AH617" s="181" t="s">
        <v>194</v>
      </c>
      <c r="AI617" s="184" t="str">
        <f>CONCATENATE(PAA[[#This Row],[Id Interno]],"-",PAA[[#This Row],[tipo de Contrato (TH talento humano - B/S bienes y/o servicios)]],"-",S617,"-",T617,"-",PAA[[#This Row],[Objeto de la contratación]])</f>
        <v>20260609-TH-8126-10-Adición y prórroga al Contrato 285 de 2025 con objeto "Prestar apoyo técnico en la Dirección, en asuntos de comunicaciones y prensa, para la producción, diseño y edición de material audiovisual de la UAECOB"</v>
      </c>
    </row>
    <row r="618" spans="2:35" ht="70" x14ac:dyDescent="0.35">
      <c r="B618" s="137">
        <v>20260610</v>
      </c>
      <c r="C618" s="117" t="s">
        <v>900</v>
      </c>
      <c r="D618" s="125" t="s">
        <v>105</v>
      </c>
      <c r="E618" s="125" t="s">
        <v>363</v>
      </c>
      <c r="F618" s="125" t="s">
        <v>145</v>
      </c>
      <c r="G618" s="126" t="s">
        <v>374</v>
      </c>
      <c r="H618" s="132">
        <v>5</v>
      </c>
      <c r="I618" s="132">
        <v>0</v>
      </c>
      <c r="J618" s="127">
        <v>17500000</v>
      </c>
      <c r="K618" s="128" t="s">
        <v>398</v>
      </c>
      <c r="L618" s="176" t="s">
        <v>150</v>
      </c>
      <c r="M618" s="174" t="s">
        <v>401</v>
      </c>
      <c r="N618" s="125" t="s">
        <v>197</v>
      </c>
      <c r="O618" s="186" t="s">
        <v>886</v>
      </c>
      <c r="P618" s="174" t="s">
        <v>348</v>
      </c>
      <c r="Q618" s="129">
        <v>80111600</v>
      </c>
      <c r="R618" s="174" t="s">
        <v>209</v>
      </c>
      <c r="S618" s="174" t="str">
        <f>MID(PAA[[#This Row],[Meta Proyecto de Inversión]],1,4)</f>
        <v>8126</v>
      </c>
      <c r="T618" s="174" t="str">
        <f>MID(PAA[[#This Row],[Meta Proyecto de Inversión]],6,2)</f>
        <v>10</v>
      </c>
      <c r="U618" s="179" t="str">
        <f>IFERROR(VLOOKUP(N618,TD!$B$54:$F$58,2,0)," ")</f>
        <v>O230117</v>
      </c>
      <c r="V618" s="179" t="str">
        <f>IFERROR(VLOOKUP(N618,TD!$B$54:$F$58,3,0)," ")</f>
        <v>4599</v>
      </c>
      <c r="W618" s="179">
        <f>IFERROR(VLOOKUP(N618,TD!$B$54:$F$58,4,0)," ")</f>
        <v>20240207</v>
      </c>
      <c r="X618" s="186" t="s">
        <v>182</v>
      </c>
      <c r="Y618" s="172" t="str">
        <f>IFERROR(VLOOKUP(X618,TD!$J$55:$K$68,2,0)," ")</f>
        <v>Servicios para la planeación y sistemas de gestión y comunicación estratégica</v>
      </c>
      <c r="Z618" s="180" t="str">
        <f>CONCATENATE(X618,"-",Y618)</f>
        <v>13-Servicios para la planeación y sistemas de gestión y comunicación estratégica</v>
      </c>
      <c r="AA618" s="186" t="s">
        <v>231</v>
      </c>
      <c r="AB618" s="172" t="str">
        <f>IFERROR(VLOOKUP(AA618,TD!$N$55:$O$70,2,0)," ")</f>
        <v>Documentos de planeación</v>
      </c>
      <c r="AC618" s="180" t="str">
        <f>CONCATENATE(AA618,"_",AB618)</f>
        <v>019_Documentos de planeación</v>
      </c>
      <c r="AD618" s="180" t="str">
        <f>CONCATENATE(Z618," ",AC618)</f>
        <v>13-Servicios para la planeación y sistemas de gestión y comunicación estratégica 019_Documentos de planeación</v>
      </c>
      <c r="AE618" s="179" t="str">
        <f>CONCATENATE(U618,V618,W618,X618,AA618)</f>
        <v>O23011745992024020713019</v>
      </c>
      <c r="AF618" s="167" t="str">
        <f>IFERROR(VLOOKUP(AD618,TD!$J$70:$K$93,2,0)," ")</f>
        <v>PM/0131/0113/45990190207</v>
      </c>
      <c r="AG618" s="130" t="s">
        <v>385</v>
      </c>
      <c r="AH618" s="181" t="s">
        <v>194</v>
      </c>
      <c r="AI618" s="184" t="str">
        <f>CONCATENATE(PAA[[#This Row],[Id Interno]],"-",PAA[[#This Row],[tipo de Contrato (TH talento humano - B/S bienes y/o servicios)]],"-",S618,"-",T618,"-",PAA[[#This Row],[Objeto de la contratación]])</f>
        <v>20260610-TH-8126-10-Adición y prórroga al Contrato 278 de 2025 con objeto "Prestación de servicios como conductor en los diferentes recorridos de carácter operativo que se requieran en la Dirección General"</v>
      </c>
    </row>
    <row r="619" spans="2:35" ht="70" x14ac:dyDescent="0.35">
      <c r="B619" s="137">
        <v>20260611</v>
      </c>
      <c r="C619" s="117" t="s">
        <v>901</v>
      </c>
      <c r="D619" s="125" t="s">
        <v>105</v>
      </c>
      <c r="E619" s="125" t="s">
        <v>363</v>
      </c>
      <c r="F619" s="125" t="s">
        <v>144</v>
      </c>
      <c r="G619" s="126" t="s">
        <v>374</v>
      </c>
      <c r="H619" s="132">
        <v>5</v>
      </c>
      <c r="I619" s="132">
        <v>0</v>
      </c>
      <c r="J619" s="127">
        <v>26000000</v>
      </c>
      <c r="K619" s="128" t="s">
        <v>398</v>
      </c>
      <c r="L619" s="176" t="s">
        <v>150</v>
      </c>
      <c r="M619" s="174" t="s">
        <v>401</v>
      </c>
      <c r="N619" s="125" t="s">
        <v>197</v>
      </c>
      <c r="O619" s="186" t="s">
        <v>886</v>
      </c>
      <c r="P619" s="174" t="s">
        <v>348</v>
      </c>
      <c r="Q619" s="129">
        <v>80111600</v>
      </c>
      <c r="R619" s="174" t="s">
        <v>209</v>
      </c>
      <c r="S619" s="174" t="str">
        <f>MID(PAA[[#This Row],[Meta Proyecto de Inversión]],1,4)</f>
        <v>8126</v>
      </c>
      <c r="T619" s="174" t="str">
        <f>MID(PAA[[#This Row],[Meta Proyecto de Inversión]],6,2)</f>
        <v>10</v>
      </c>
      <c r="U619" s="179" t="str">
        <f>IFERROR(VLOOKUP(N619,TD!$B$54:$F$58,2,0)," ")</f>
        <v>O230117</v>
      </c>
      <c r="V619" s="179" t="str">
        <f>IFERROR(VLOOKUP(N619,TD!$B$54:$F$58,3,0)," ")</f>
        <v>4599</v>
      </c>
      <c r="W619" s="179">
        <f>IFERROR(VLOOKUP(N619,TD!$B$54:$F$58,4,0)," ")</f>
        <v>20240207</v>
      </c>
      <c r="X619" s="186" t="s">
        <v>182</v>
      </c>
      <c r="Y619" s="172" t="str">
        <f>IFERROR(VLOOKUP(X619,TD!$J$55:$K$68,2,0)," ")</f>
        <v>Servicios para la planeación y sistemas de gestión y comunicación estratégica</v>
      </c>
      <c r="Z619" s="180" t="str">
        <f>CONCATENATE(X619,"-",Y619)</f>
        <v>13-Servicios para la planeación y sistemas de gestión y comunicación estratégica</v>
      </c>
      <c r="AA619" s="186" t="s">
        <v>231</v>
      </c>
      <c r="AB619" s="172" t="str">
        <f>IFERROR(VLOOKUP(AA619,TD!$N$55:$O$70,2,0)," ")</f>
        <v>Documentos de planeación</v>
      </c>
      <c r="AC619" s="180" t="str">
        <f>CONCATENATE(AA619,"_",AB619)</f>
        <v>019_Documentos de planeación</v>
      </c>
      <c r="AD619" s="180" t="str">
        <f>CONCATENATE(Z619," ",AC619)</f>
        <v>13-Servicios para la planeación y sistemas de gestión y comunicación estratégica 019_Documentos de planeación</v>
      </c>
      <c r="AE619" s="179" t="str">
        <f>CONCATENATE(U619,V619,W619,X619,AA619)</f>
        <v>O23011745992024020713019</v>
      </c>
      <c r="AF619" s="167" t="str">
        <f>IFERROR(VLOOKUP(AD619,TD!$J$70:$K$93,2,0)," ")</f>
        <v>PM/0131/0113/45990190207</v>
      </c>
      <c r="AG619" s="130" t="s">
        <v>385</v>
      </c>
      <c r="AH619" s="181" t="s">
        <v>194</v>
      </c>
      <c r="AI619" s="184" t="str">
        <f>CONCATENATE(PAA[[#This Row],[Id Interno]],"-",PAA[[#This Row],[tipo de Contrato (TH talento humano - B/S bienes y/o servicios)]],"-",S619,"-",T619,"-",PAA[[#This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620" spans="2:35" ht="70" x14ac:dyDescent="0.35">
      <c r="B620" s="137">
        <v>20260612</v>
      </c>
      <c r="C620" s="117" t="s">
        <v>902</v>
      </c>
      <c r="D620" s="125" t="s">
        <v>105</v>
      </c>
      <c r="E620" s="125" t="s">
        <v>363</v>
      </c>
      <c r="F620" s="125" t="s">
        <v>145</v>
      </c>
      <c r="G620" s="126" t="s">
        <v>374</v>
      </c>
      <c r="H620" s="132">
        <v>11</v>
      </c>
      <c r="I620" s="132">
        <v>0</v>
      </c>
      <c r="J620" s="127">
        <v>42000000</v>
      </c>
      <c r="K620" s="128" t="s">
        <v>398</v>
      </c>
      <c r="L620" s="176" t="s">
        <v>150</v>
      </c>
      <c r="M620" s="174" t="s">
        <v>401</v>
      </c>
      <c r="N620" s="125" t="s">
        <v>197</v>
      </c>
      <c r="O620" s="186" t="s">
        <v>886</v>
      </c>
      <c r="P620" s="174" t="s">
        <v>348</v>
      </c>
      <c r="Q620" s="129">
        <v>80111600</v>
      </c>
      <c r="R620" s="174" t="s">
        <v>209</v>
      </c>
      <c r="S620" s="174" t="str">
        <f>MID(PAA[[#This Row],[Meta Proyecto de Inversión]],1,4)</f>
        <v>8126</v>
      </c>
      <c r="T620" s="174" t="str">
        <f>MID(PAA[[#This Row],[Meta Proyecto de Inversión]],6,2)</f>
        <v>10</v>
      </c>
      <c r="U620" s="179" t="str">
        <f>IFERROR(VLOOKUP(N620,TD!$B$54:$F$58,2,0)," ")</f>
        <v>O230117</v>
      </c>
      <c r="V620" s="179" t="str">
        <f>IFERROR(VLOOKUP(N620,TD!$B$54:$F$58,3,0)," ")</f>
        <v>4599</v>
      </c>
      <c r="W620" s="179">
        <f>IFERROR(VLOOKUP(N620,TD!$B$54:$F$58,4,0)," ")</f>
        <v>20240207</v>
      </c>
      <c r="X620" s="186" t="s">
        <v>182</v>
      </c>
      <c r="Y620" s="172" t="str">
        <f>IFERROR(VLOOKUP(X620,TD!$J$55:$K$68,2,0)," ")</f>
        <v>Servicios para la planeación y sistemas de gestión y comunicación estratégica</v>
      </c>
      <c r="Z620" s="180" t="str">
        <f>CONCATENATE(X620,"-",Y620)</f>
        <v>13-Servicios para la planeación y sistemas de gestión y comunicación estratégica</v>
      </c>
      <c r="AA620" s="186" t="s">
        <v>231</v>
      </c>
      <c r="AB620" s="172" t="str">
        <f>IFERROR(VLOOKUP(AA620,TD!$N$55:$O$70,2,0)," ")</f>
        <v>Documentos de planeación</v>
      </c>
      <c r="AC620" s="180" t="str">
        <f>CONCATENATE(AA620,"_",AB620)</f>
        <v>019_Documentos de planeación</v>
      </c>
      <c r="AD620" s="180" t="str">
        <f>CONCATENATE(Z620," ",AC620)</f>
        <v>13-Servicios para la planeación y sistemas de gestión y comunicación estratégica 019_Documentos de planeación</v>
      </c>
      <c r="AE620" s="179" t="str">
        <f>CONCATENATE(U620,V620,W620,X620,AA620)</f>
        <v>O23011745992024020713019</v>
      </c>
      <c r="AF620" s="167" t="str">
        <f>IFERROR(VLOOKUP(AD620,TD!$J$70:$K$93,2,0)," ")</f>
        <v>PM/0131/0113/45990190207</v>
      </c>
      <c r="AG620" s="130" t="s">
        <v>385</v>
      </c>
      <c r="AH620" s="166" t="s">
        <v>193</v>
      </c>
      <c r="AI620" s="184" t="str">
        <f>CONCATENATE(PAA[[#This Row],[Id Interno]],"-",PAA[[#This Row],[tipo de Contrato (TH talento humano - B/S bienes y/o servicios)]],"-",S620,"-",T620,"-",PAA[[#This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621" spans="2:35" s="56" customFormat="1" ht="70" x14ac:dyDescent="0.35">
      <c r="B621" s="137">
        <v>20260613</v>
      </c>
      <c r="C621" s="117" t="s">
        <v>903</v>
      </c>
      <c r="D621" s="125" t="s">
        <v>83</v>
      </c>
      <c r="E621" s="125" t="s">
        <v>402</v>
      </c>
      <c r="F621" s="125" t="s">
        <v>124</v>
      </c>
      <c r="G621" s="126" t="s">
        <v>375</v>
      </c>
      <c r="H621" s="132">
        <v>3</v>
      </c>
      <c r="I621" s="132">
        <v>0</v>
      </c>
      <c r="J621" s="127">
        <v>180312424</v>
      </c>
      <c r="K621" s="128" t="s">
        <v>398</v>
      </c>
      <c r="L621" s="176" t="s">
        <v>156</v>
      </c>
      <c r="M621" s="174" t="s">
        <v>484</v>
      </c>
      <c r="N621" s="125" t="s">
        <v>198</v>
      </c>
      <c r="O621" s="186" t="s">
        <v>887</v>
      </c>
      <c r="P621" s="174" t="s">
        <v>348</v>
      </c>
      <c r="Q621" s="129" t="s">
        <v>505</v>
      </c>
      <c r="R621" s="174" t="s">
        <v>210</v>
      </c>
      <c r="S621" s="174" t="str">
        <f>MID(PAA[[#This Row],[Meta Proyecto de Inversión]],1,4)</f>
        <v>8173</v>
      </c>
      <c r="T621" s="174" t="str">
        <f>MID(PAA[[#This Row],[Meta Proyecto de Inversión]],6,2)</f>
        <v>1-</v>
      </c>
      <c r="U621" s="179" t="str">
        <f>IFERROR(VLOOKUP(N621,TD!$B$54:$F$58,2,0)," ")</f>
        <v>O230117</v>
      </c>
      <c r="V621" s="179" t="str">
        <f>IFERROR(VLOOKUP(N621,TD!$B$54:$F$58,3,0)," ")</f>
        <v>4503</v>
      </c>
      <c r="W621" s="179">
        <f>IFERROR(VLOOKUP(N621,TD!$B$54:$F$58,4,0)," ")</f>
        <v>20240255</v>
      </c>
      <c r="X621" s="186" t="s">
        <v>166</v>
      </c>
      <c r="Y621" s="172" t="str">
        <f>IFERROR(VLOOKUP(X621,TD!$J$55:$K$68,2,0)," ")</f>
        <v>Servicio de capacitaciones en gestión del riesgo de incendios  a la ciudadania.</v>
      </c>
      <c r="Z621" s="180" t="str">
        <f>CONCATENATE(X621,"-",Y621)</f>
        <v>05-Servicio de capacitaciones en gestión del riesgo de incendios  a la ciudadania.</v>
      </c>
      <c r="AA621" s="186" t="s">
        <v>223</v>
      </c>
      <c r="AB621" s="172" t="str">
        <f>IFERROR(VLOOKUP(AA621,TD!$N$55:$O$70,2,0)," ")</f>
        <v>Servicio prevención y control de incendios</v>
      </c>
      <c r="AC621" s="180" t="str">
        <f>CONCATENATE(AA621,"_",AB621)</f>
        <v>035_Servicio prevención y control de incendios</v>
      </c>
      <c r="AD621" s="180" t="str">
        <f>CONCATENATE(Z621," ",AC621)</f>
        <v>05-Servicio de capacitaciones en gestión del riesgo de incendios  a la ciudadania. 035_Servicio prevención y control de incendios</v>
      </c>
      <c r="AE621" s="179" t="str">
        <f>CONCATENATE(U621,V621,W621,X621,AA621)</f>
        <v>O23011745032024025505035</v>
      </c>
      <c r="AF621" s="167" t="str">
        <f>IFERROR(VLOOKUP(AD621,TD!$J$70:$K$93,2,0)," ")</f>
        <v>PM/0131/0105/45030350255</v>
      </c>
      <c r="AG621" s="130" t="s">
        <v>533</v>
      </c>
      <c r="AH621" s="181" t="s">
        <v>194</v>
      </c>
      <c r="AI621" s="184" t="str">
        <f>CONCATENATE(PAA[[#This Row],[Id Interno]],"-",PAA[[#This Row],[tipo de Contrato (TH talento humano - B/S bienes y/o servicios)]],"-",S621,"-",T621,"-",PAA[[#This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622" spans="2:35" ht="125" customHeight="1" x14ac:dyDescent="0.35">
      <c r="B622" s="137">
        <v>20260614</v>
      </c>
      <c r="C622" s="117" t="s">
        <v>904</v>
      </c>
      <c r="D622" s="125" t="s">
        <v>105</v>
      </c>
      <c r="E622" s="125" t="s">
        <v>363</v>
      </c>
      <c r="F622" s="125" t="s">
        <v>144</v>
      </c>
      <c r="G622" s="126" t="s">
        <v>905</v>
      </c>
      <c r="H622" s="132">
        <v>10</v>
      </c>
      <c r="I622" s="132">
        <v>0</v>
      </c>
      <c r="J622" s="127">
        <v>65000000</v>
      </c>
      <c r="K622" s="128" t="s">
        <v>398</v>
      </c>
      <c r="L622" s="176" t="s">
        <v>152</v>
      </c>
      <c r="M622" s="174" t="s">
        <v>893</v>
      </c>
      <c r="N622" s="125" t="s">
        <v>197</v>
      </c>
      <c r="O622" s="186" t="s">
        <v>886</v>
      </c>
      <c r="P622" s="174" t="s">
        <v>348</v>
      </c>
      <c r="Q622" s="129">
        <v>80111600</v>
      </c>
      <c r="R622" s="174" t="s">
        <v>208</v>
      </c>
      <c r="S622" s="174" t="str">
        <f>MID(PAA[[#This Row],[Meta Proyecto de Inversión]],1,4)</f>
        <v>8126</v>
      </c>
      <c r="T622" s="174" t="str">
        <f>MID(PAA[[#This Row],[Meta Proyecto de Inversión]],6,2)</f>
        <v>9-</v>
      </c>
      <c r="U622" s="179" t="str">
        <f>IFERROR(VLOOKUP(N622,TD!$B$54:$F$58,2,0)," ")</f>
        <v>O230117</v>
      </c>
      <c r="V622" s="179" t="str">
        <f>IFERROR(VLOOKUP(N622,TD!$B$54:$F$58,3,0)," ")</f>
        <v>4599</v>
      </c>
      <c r="W622" s="179">
        <f>IFERROR(VLOOKUP(N622,TD!$B$54:$F$58,4,0)," ")</f>
        <v>20240207</v>
      </c>
      <c r="X622" s="186" t="s">
        <v>174</v>
      </c>
      <c r="Y622" s="172" t="str">
        <f>IFERROR(VLOOKUP(X622,TD!$J$55:$K$68,2,0)," ")</f>
        <v>Infraestructura física, mantenimiento y dotación (Sedes construidas, mantenidas reforzadas)</v>
      </c>
      <c r="Z622" s="180" t="str">
        <f>CONCATENATE(X622,"-",Y622)</f>
        <v>08-Infraestructura física, mantenimiento y dotación (Sedes construidas, mantenidas reforzadas)</v>
      </c>
      <c r="AA622" s="186" t="s">
        <v>227</v>
      </c>
      <c r="AB622" s="172" t="str">
        <f>IFERROR(VLOOKUP(AA622,TD!$N$55:$O$70,2,0)," ")</f>
        <v>Sedes mantenidas</v>
      </c>
      <c r="AC622" s="180" t="str">
        <f>CONCATENATE(AA622,"_",AB622)</f>
        <v>016_Sedes mantenidas</v>
      </c>
      <c r="AD622" s="180" t="str">
        <f>CONCATENATE(Z622," ",AC622)</f>
        <v>08-Infraestructura física, mantenimiento y dotación (Sedes construidas, mantenidas reforzadas) 016_Sedes mantenidas</v>
      </c>
      <c r="AE622" s="179" t="str">
        <f>CONCATENATE(U622,V622,W622,X622,AA622)</f>
        <v>O23011745992024020708016</v>
      </c>
      <c r="AF622" s="167" t="str">
        <f>IFERROR(VLOOKUP(AD622,TD!$J$70:$K$93,2,0)," ")</f>
        <v>PM/0131/0108/45990160207</v>
      </c>
      <c r="AG622" s="130" t="s">
        <v>385</v>
      </c>
      <c r="AH622" s="181" t="s">
        <v>193</v>
      </c>
      <c r="AI622" s="184" t="str">
        <f>CONCATENATE(PAA[[#This Row],[Id Interno]],"-",PAA[[#This Row],[tipo de Contrato (TH talento humano - B/S bienes y/o servicios)]],"-",S622,"-",T622,"-",PAA[[#This Row],[Objeto de la contratación]])</f>
        <v>20260614-TH-8126-9--Prestar los servicios profesionales  en la Oficina de Control Interno para el desarrollo del Plan Anual de Auditorías.</v>
      </c>
    </row>
    <row r="623" spans="2:35" ht="42" x14ac:dyDescent="0.35">
      <c r="B623" s="137">
        <v>20260615</v>
      </c>
      <c r="C623" s="117" t="s">
        <v>904</v>
      </c>
      <c r="D623" s="125" t="s">
        <v>105</v>
      </c>
      <c r="E623" s="125" t="s">
        <v>363</v>
      </c>
      <c r="F623" s="125" t="s">
        <v>144</v>
      </c>
      <c r="G623" s="126" t="s">
        <v>905</v>
      </c>
      <c r="H623" s="132">
        <v>10</v>
      </c>
      <c r="I623" s="132">
        <v>0</v>
      </c>
      <c r="J623" s="127">
        <v>77000000</v>
      </c>
      <c r="K623" s="128" t="s">
        <v>398</v>
      </c>
      <c r="L623" s="176" t="s">
        <v>152</v>
      </c>
      <c r="M623" s="174" t="s">
        <v>893</v>
      </c>
      <c r="N623" s="125" t="s">
        <v>197</v>
      </c>
      <c r="O623" s="186" t="s">
        <v>886</v>
      </c>
      <c r="P623" s="174" t="s">
        <v>348</v>
      </c>
      <c r="Q623" s="129">
        <v>80111600</v>
      </c>
      <c r="R623" s="174" t="s">
        <v>208</v>
      </c>
      <c r="S623" s="174" t="str">
        <f>MID(PAA[[#This Row],[Meta Proyecto de Inversión]],1,4)</f>
        <v>8126</v>
      </c>
      <c r="T623" s="174" t="str">
        <f>MID(PAA[[#This Row],[Meta Proyecto de Inversión]],6,2)</f>
        <v>9-</v>
      </c>
      <c r="U623" s="179" t="str">
        <f>IFERROR(VLOOKUP(N623,TD!$B$54:$F$58,2,0)," ")</f>
        <v>O230117</v>
      </c>
      <c r="V623" s="179" t="str">
        <f>IFERROR(VLOOKUP(N623,TD!$B$54:$F$58,3,0)," ")</f>
        <v>4599</v>
      </c>
      <c r="W623" s="179">
        <f>IFERROR(VLOOKUP(N623,TD!$B$54:$F$58,4,0)," ")</f>
        <v>20240207</v>
      </c>
      <c r="X623" s="186" t="s">
        <v>174</v>
      </c>
      <c r="Y623" s="172" t="str">
        <f>IFERROR(VLOOKUP(X623,TD!$J$55:$K$68,2,0)," ")</f>
        <v>Infraestructura física, mantenimiento y dotación (Sedes construidas, mantenidas reforzadas)</v>
      </c>
      <c r="Z623" s="180" t="str">
        <f>CONCATENATE(X623,"-",Y623)</f>
        <v>08-Infraestructura física, mantenimiento y dotación (Sedes construidas, mantenidas reforzadas)</v>
      </c>
      <c r="AA623" s="186" t="s">
        <v>227</v>
      </c>
      <c r="AB623" s="172" t="str">
        <f>IFERROR(VLOOKUP(AA623,TD!$N$55:$O$70,2,0)," ")</f>
        <v>Sedes mantenidas</v>
      </c>
      <c r="AC623" s="180" t="str">
        <f>CONCATENATE(AA623,"_",AB623)</f>
        <v>016_Sedes mantenidas</v>
      </c>
      <c r="AD623" s="180" t="str">
        <f>CONCATENATE(Z623," ",AC623)</f>
        <v>08-Infraestructura física, mantenimiento y dotación (Sedes construidas, mantenidas reforzadas) 016_Sedes mantenidas</v>
      </c>
      <c r="AE623" s="179" t="str">
        <f>CONCATENATE(U623,V623,W623,X623,AA623)</f>
        <v>O23011745992024020708016</v>
      </c>
      <c r="AF623" s="167" t="str">
        <f>IFERROR(VLOOKUP(AD623,TD!$J$70:$K$93,2,0)," ")</f>
        <v>PM/0131/0108/45990160207</v>
      </c>
      <c r="AG623" s="130" t="s">
        <v>385</v>
      </c>
      <c r="AH623" s="181" t="s">
        <v>193</v>
      </c>
      <c r="AI623" s="184" t="str">
        <f>CONCATENATE(PAA[[#This Row],[Id Interno]],"-",PAA[[#This Row],[tipo de Contrato (TH talento humano - B/S bienes y/o servicios)]],"-",S623,"-",T623,"-",PAA[[#This Row],[Objeto de la contratación]])</f>
        <v>20260615-TH-8126-9--Prestar los servicios profesionales  en la Oficina de Control Interno para el desarrollo del Plan Anual de Auditorías.</v>
      </c>
    </row>
    <row r="624" spans="2:35" ht="103.5" customHeight="1" x14ac:dyDescent="0.35">
      <c r="B624" s="146">
        <v>20260616</v>
      </c>
      <c r="C624" s="117" t="s">
        <v>906</v>
      </c>
      <c r="D624" s="125" t="s">
        <v>105</v>
      </c>
      <c r="E624" s="125" t="s">
        <v>363</v>
      </c>
      <c r="F624" s="125" t="s">
        <v>145</v>
      </c>
      <c r="G624" s="126" t="s">
        <v>373</v>
      </c>
      <c r="H624" s="132">
        <v>8</v>
      </c>
      <c r="I624" s="132">
        <v>0</v>
      </c>
      <c r="J624" s="127">
        <v>24500000</v>
      </c>
      <c r="K624" s="128" t="s">
        <v>398</v>
      </c>
      <c r="L624" s="176" t="s">
        <v>158</v>
      </c>
      <c r="M624" s="174" t="s">
        <v>421</v>
      </c>
      <c r="N624" s="125" t="s">
        <v>198</v>
      </c>
      <c r="O624" s="186" t="s">
        <v>887</v>
      </c>
      <c r="P624" s="174" t="s">
        <v>348</v>
      </c>
      <c r="Q624" s="129">
        <v>80111600</v>
      </c>
      <c r="R624" s="174" t="s">
        <v>211</v>
      </c>
      <c r="S624" s="174" t="str">
        <f>MID(PAA[[#This Row],[Meta Proyecto de Inversión]],1,4)</f>
        <v>8173</v>
      </c>
      <c r="T624" s="166" t="str">
        <f>MID(PAA[[#This Row],[Meta Proyecto de Inversión]],6,2)</f>
        <v>2-</v>
      </c>
      <c r="U624" s="179" t="str">
        <f>IFERROR(VLOOKUP(N624,TD!$B$54:$F$58,2,0)," ")</f>
        <v>O230117</v>
      </c>
      <c r="V624" s="179" t="str">
        <f>IFERROR(VLOOKUP(N624,TD!$B$54:$F$58,3,0)," ")</f>
        <v>4503</v>
      </c>
      <c r="W624" s="179">
        <f>IFERROR(VLOOKUP(N624,TD!$B$54:$F$58,4,0)," ")</f>
        <v>20240255</v>
      </c>
      <c r="X624" s="186" t="s">
        <v>164</v>
      </c>
      <c r="Y624" s="172" t="str">
        <f>IFERROR(VLOOKUP(X624,TD!$J$55:$K$68,2,0)," ")</f>
        <v>Servicio de atención a incidentes y emergencias.</v>
      </c>
      <c r="Z624" s="180" t="str">
        <f>CONCATENATE(X624,"-",Y624)</f>
        <v>04-Servicio de atención a incidentes y emergencias.</v>
      </c>
      <c r="AA624" s="186" t="s">
        <v>221</v>
      </c>
      <c r="AB624" s="172" t="str">
        <f>IFERROR(VLOOKUP(AA624,TD!$N$55:$O$70,2,0)," ")</f>
        <v>Servicio de atención a emergencias y desastres</v>
      </c>
      <c r="AC624" s="180" t="str">
        <f>CONCATENATE(AA624,"_",AB624)</f>
        <v>004_Servicio de atención a emergencias y desastres</v>
      </c>
      <c r="AD624" s="180" t="str">
        <f>CONCATENATE(Z624," ",AC624)</f>
        <v>04-Servicio de atención a incidentes y emergencias. 004_Servicio de atención a emergencias y desastres</v>
      </c>
      <c r="AE624" s="179" t="str">
        <f>CONCATENATE(U624,V624,W624,X624,AA624)</f>
        <v>O23011745032024025504004</v>
      </c>
      <c r="AF624" s="167" t="str">
        <f>IFERROR(VLOOKUP(AD624,TD!$J$70:$K$93,2,0)," ")</f>
        <v>PM/0131/0104/45030040255</v>
      </c>
      <c r="AG624" s="130" t="s">
        <v>385</v>
      </c>
      <c r="AH624" s="181" t="s">
        <v>193</v>
      </c>
      <c r="AI624" s="184" t="str">
        <f>CONCATENATE(PAA[[#This Row],[Id Interno]],"-",PAA[[#This Row],[tipo de Contrato (TH talento humano - B/S bienes y/o servicios)]],"-",S624,"-",T624,"-",PAA[[#This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625" spans="2:35" s="56" customFormat="1" ht="118" customHeight="1" x14ac:dyDescent="0.35">
      <c r="B625" s="137">
        <v>20260617</v>
      </c>
      <c r="C625" s="117" t="s">
        <v>907</v>
      </c>
      <c r="D625" s="125" t="s">
        <v>105</v>
      </c>
      <c r="E625" s="125" t="s">
        <v>363</v>
      </c>
      <c r="F625" s="125" t="s">
        <v>144</v>
      </c>
      <c r="G625" s="126" t="s">
        <v>373</v>
      </c>
      <c r="H625" s="132">
        <v>6</v>
      </c>
      <c r="I625" s="132">
        <v>0</v>
      </c>
      <c r="J625" s="127">
        <v>48000000</v>
      </c>
      <c r="K625" s="128" t="s">
        <v>398</v>
      </c>
      <c r="L625" s="176" t="s">
        <v>158</v>
      </c>
      <c r="M625" s="174" t="s">
        <v>421</v>
      </c>
      <c r="N625" s="125" t="s">
        <v>198</v>
      </c>
      <c r="O625" s="186" t="s">
        <v>887</v>
      </c>
      <c r="P625" s="174" t="s">
        <v>348</v>
      </c>
      <c r="Q625" s="129">
        <v>80111600</v>
      </c>
      <c r="R625" s="174" t="s">
        <v>211</v>
      </c>
      <c r="S625" s="174" t="str">
        <f>MID(PAA[[#This Row],[Meta Proyecto de Inversión]],1,4)</f>
        <v>8173</v>
      </c>
      <c r="T625" s="174" t="str">
        <f>MID(PAA[[#This Row],[Meta Proyecto de Inversión]],6,2)</f>
        <v>2-</v>
      </c>
      <c r="U625" s="179" t="str">
        <f>IFERROR(VLOOKUP(N625,TD!$B$54:$F$58,2,0)," ")</f>
        <v>O230117</v>
      </c>
      <c r="V625" s="179" t="str">
        <f>IFERROR(VLOOKUP(N625,TD!$B$54:$F$58,3,0)," ")</f>
        <v>4503</v>
      </c>
      <c r="W625" s="179">
        <f>IFERROR(VLOOKUP(N625,TD!$B$54:$F$58,4,0)," ")</f>
        <v>20240255</v>
      </c>
      <c r="X625" s="186" t="s">
        <v>164</v>
      </c>
      <c r="Y625" s="172" t="str">
        <f>IFERROR(VLOOKUP(X625,TD!$J$55:$K$68,2,0)," ")</f>
        <v>Servicio de atención a incidentes y emergencias.</v>
      </c>
      <c r="Z625" s="180" t="str">
        <f>CONCATENATE(X625,"-",Y625)</f>
        <v>04-Servicio de atención a incidentes y emergencias.</v>
      </c>
      <c r="AA625" s="186" t="s">
        <v>221</v>
      </c>
      <c r="AB625" s="172" t="str">
        <f>IFERROR(VLOOKUP(AA625,TD!$N$55:$O$70,2,0)," ")</f>
        <v>Servicio de atención a emergencias y desastres</v>
      </c>
      <c r="AC625" s="180" t="str">
        <f>CONCATENATE(AA625,"_",AB625)</f>
        <v>004_Servicio de atención a emergencias y desastres</v>
      </c>
      <c r="AD625" s="180" t="str">
        <f>CONCATENATE(Z625," ",AC625)</f>
        <v>04-Servicio de atención a incidentes y emergencias. 004_Servicio de atención a emergencias y desastres</v>
      </c>
      <c r="AE625" s="179" t="str">
        <f>CONCATENATE(U625,V625,W625,X625,AA625)</f>
        <v>O23011745032024025504004</v>
      </c>
      <c r="AF625" s="167" t="str">
        <f>IFERROR(VLOOKUP(AD625,TD!$J$70:$K$93,2,0)," ")</f>
        <v>PM/0131/0104/45030040255</v>
      </c>
      <c r="AG625" s="130" t="s">
        <v>385</v>
      </c>
      <c r="AH625" s="181" t="s">
        <v>193</v>
      </c>
      <c r="AI625" s="184" t="str">
        <f>CONCATENATE(PAA[[#This Row],[Id Interno]],"-",PAA[[#This Row],[tipo de Contrato (TH talento humano - B/S bienes y/o servicios)]],"-",S625,"-",T625,"-",PAA[[#This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626" spans="2:35" ht="70" x14ac:dyDescent="0.35">
      <c r="B626" s="146">
        <v>20260618</v>
      </c>
      <c r="C626" s="117" t="s">
        <v>1321</v>
      </c>
      <c r="D626" s="117" t="s">
        <v>114</v>
      </c>
      <c r="E626" s="117" t="s">
        <v>402</v>
      </c>
      <c r="F626" s="117" t="s">
        <v>79</v>
      </c>
      <c r="G626" s="126" t="s">
        <v>381</v>
      </c>
      <c r="H626" s="147">
        <v>3</v>
      </c>
      <c r="I626" s="147">
        <v>0</v>
      </c>
      <c r="J626" s="130">
        <v>46391000</v>
      </c>
      <c r="K626" s="148" t="s">
        <v>398</v>
      </c>
      <c r="L626" s="177" t="s">
        <v>158</v>
      </c>
      <c r="M626" s="186" t="s">
        <v>421</v>
      </c>
      <c r="N626" s="117" t="s">
        <v>198</v>
      </c>
      <c r="O626" s="186" t="s">
        <v>887</v>
      </c>
      <c r="P626" s="186" t="s">
        <v>348</v>
      </c>
      <c r="Q626" s="149">
        <v>80111600</v>
      </c>
      <c r="R626" s="186" t="s">
        <v>211</v>
      </c>
      <c r="S626" s="180" t="str">
        <f>MID(PAA[[#This Row],[Meta Proyecto de Inversión]],1,4)</f>
        <v>8173</v>
      </c>
      <c r="T626" s="180" t="str">
        <f>MID(PAA[[#This Row],[Meta Proyecto de Inversión]],6,2)</f>
        <v>2-</v>
      </c>
      <c r="U626" s="187" t="str">
        <f>IFERROR(VLOOKUP(N626,TD!$B$54:$F$58,2,0)," ")</f>
        <v>O230117</v>
      </c>
      <c r="V626" s="187" t="str">
        <f>IFERROR(VLOOKUP(N626,TD!$B$54:$F$58,3,0)," ")</f>
        <v>4503</v>
      </c>
      <c r="W626" s="187">
        <f>IFERROR(VLOOKUP(N626,TD!$B$54:$F$58,4,0)," ")</f>
        <v>20240255</v>
      </c>
      <c r="X626" s="171" t="s">
        <v>178</v>
      </c>
      <c r="Y626" s="172" t="str">
        <f>IFERROR(VLOOKUP(X626,TD!$J$55:$K$68,2,0)," ")</f>
        <v>Servicio de dotación y equipamento para el personal operativo</v>
      </c>
      <c r="Z626" s="180" t="str">
        <f>CONCATENATE(X626,"-",Y626)</f>
        <v>10-Servicio de dotación y equipamento para el personal operativo</v>
      </c>
      <c r="AA626" s="171" t="s">
        <v>221</v>
      </c>
      <c r="AB626" s="172" t="str">
        <f>IFERROR(VLOOKUP(AA626,TD!$N$55:$O$70,2,0)," ")</f>
        <v>Servicio de atención a emergencias y desastres</v>
      </c>
      <c r="AC626" s="180" t="str">
        <f>CONCATENATE(AA626,"_",AB626)</f>
        <v>004_Servicio de atención a emergencias y desastres</v>
      </c>
      <c r="AD626" s="180" t="str">
        <f>CONCATENATE(Z626," ",AC626)</f>
        <v>10-Servicio de dotación y equipamento para el personal operativo 004_Servicio de atención a emergencias y desastres</v>
      </c>
      <c r="AE626" s="187" t="str">
        <f>CONCATENATE(U626,V626,W626,X626,AA626)</f>
        <v>O23011745032024025510004</v>
      </c>
      <c r="AF626" s="172" t="str">
        <f>IFERROR(VLOOKUP(AD626,TD!$J$70:$K$93,2,0)," ")</f>
        <v>PM/0131/0110/45030040255</v>
      </c>
      <c r="AG626" s="114" t="s">
        <v>80</v>
      </c>
      <c r="AH626" s="171" t="s">
        <v>193</v>
      </c>
      <c r="AI626" s="184" t="str">
        <f>CONCATENATE(PAA[[#This Row],[Id Interno]],"-",PAA[[#This Row],[tipo de Contrato (TH talento humano - B/S bienes y/o servicios)]],"-",S626,"-",T626,"-",PAA[[#This Row],[Objeto de la contratación]])</f>
        <v>20260618-BS-8173-2--Adquisición de Motosierras para la atención de incidentes forestales  de la UAE Cuerpo Oficial de Bomberos de Bogotá - S.O.</v>
      </c>
    </row>
    <row r="627" spans="2:35" ht="56" x14ac:dyDescent="0.35">
      <c r="B627" s="137">
        <v>20260619</v>
      </c>
      <c r="C627" s="117" t="s">
        <v>908</v>
      </c>
      <c r="D627" s="125" t="s">
        <v>114</v>
      </c>
      <c r="E627" s="125" t="s">
        <v>402</v>
      </c>
      <c r="F627" s="125" t="s">
        <v>79</v>
      </c>
      <c r="G627" s="126" t="s">
        <v>373</v>
      </c>
      <c r="H627" s="132">
        <v>2</v>
      </c>
      <c r="I627" s="132">
        <v>0</v>
      </c>
      <c r="J627" s="127">
        <v>5093340</v>
      </c>
      <c r="K627" s="128" t="s">
        <v>398</v>
      </c>
      <c r="L627" s="176" t="s">
        <v>158</v>
      </c>
      <c r="M627" s="174" t="s">
        <v>421</v>
      </c>
      <c r="N627" s="125" t="s">
        <v>198</v>
      </c>
      <c r="O627" s="186" t="s">
        <v>887</v>
      </c>
      <c r="P627" s="174" t="s">
        <v>348</v>
      </c>
      <c r="Q627" s="129">
        <v>80111600</v>
      </c>
      <c r="R627" s="174" t="s">
        <v>211</v>
      </c>
      <c r="S627" s="174" t="str">
        <f>MID(PAA[[#This Row],[Meta Proyecto de Inversión]],1,4)</f>
        <v>8173</v>
      </c>
      <c r="T627" s="174" t="str">
        <f>MID(PAA[[#This Row],[Meta Proyecto de Inversión]],6,2)</f>
        <v>2-</v>
      </c>
      <c r="U627" s="179" t="str">
        <f>IFERROR(VLOOKUP(N627,TD!$B$54:$F$58,2,0)," ")</f>
        <v>O230117</v>
      </c>
      <c r="V627" s="179" t="str">
        <f>IFERROR(VLOOKUP(N627,TD!$B$54:$F$58,3,0)," ")</f>
        <v>4503</v>
      </c>
      <c r="W627" s="179">
        <f>IFERROR(VLOOKUP(N627,TD!$B$54:$F$58,4,0)," ")</f>
        <v>20240255</v>
      </c>
      <c r="X627" s="186" t="s">
        <v>178</v>
      </c>
      <c r="Y627" s="172" t="str">
        <f>IFERROR(VLOOKUP(X627,TD!$J$55:$K$68,2,0)," ")</f>
        <v>Servicio de dotación y equipamento para el personal operativo</v>
      </c>
      <c r="Z627" s="180" t="str">
        <f>CONCATENATE(X627,"-",Y627)</f>
        <v>10-Servicio de dotación y equipamento para el personal operativo</v>
      </c>
      <c r="AA627" s="186" t="s">
        <v>221</v>
      </c>
      <c r="AB627" s="172" t="str">
        <f>IFERROR(VLOOKUP(AA627,TD!$N$55:$O$70,2,0)," ")</f>
        <v>Servicio de atención a emergencias y desastres</v>
      </c>
      <c r="AC627" s="180" t="str">
        <f>CONCATENATE(AA627,"_",AB627)</f>
        <v>004_Servicio de atención a emergencias y desastres</v>
      </c>
      <c r="AD627" s="180" t="str">
        <f>CONCATENATE(Z627," ",AC627)</f>
        <v>10-Servicio de dotación y equipamento para el personal operativo 004_Servicio de atención a emergencias y desastres</v>
      </c>
      <c r="AE627" s="179" t="str">
        <f>CONCATENATE(U627,V627,W627,X627,AA627)</f>
        <v>O23011745032024025510004</v>
      </c>
      <c r="AF627" s="167" t="str">
        <f>IFERROR(VLOOKUP(AD627,TD!$J$70:$K$93,2,0)," ")</f>
        <v>PM/0131/0110/45030040255</v>
      </c>
      <c r="AG627" s="130" t="s">
        <v>80</v>
      </c>
      <c r="AH627" s="181" t="s">
        <v>194</v>
      </c>
      <c r="AI627" s="184" t="str">
        <f>CONCATENATE(PAA[[#This Row],[Id Interno]],"-",PAA[[#This Row],[tipo de Contrato (TH talento humano - B/S bienes y/o servicios)]],"-",S627,"-",T627,"-",PAA[[#This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628" spans="2:35" ht="84" x14ac:dyDescent="0.35">
      <c r="B628" s="137">
        <v>20260620</v>
      </c>
      <c r="C628" s="117" t="s">
        <v>909</v>
      </c>
      <c r="D628" s="125" t="s">
        <v>119</v>
      </c>
      <c r="E628" s="125" t="s">
        <v>402</v>
      </c>
      <c r="F628" s="125" t="s">
        <v>128</v>
      </c>
      <c r="G628" s="126" t="s">
        <v>380</v>
      </c>
      <c r="H628" s="132">
        <v>11</v>
      </c>
      <c r="I628" s="132">
        <v>0</v>
      </c>
      <c r="J628" s="127">
        <v>180000000</v>
      </c>
      <c r="K628" s="128" t="s">
        <v>398</v>
      </c>
      <c r="L628" s="176" t="s">
        <v>154</v>
      </c>
      <c r="M628" s="174" t="s">
        <v>438</v>
      </c>
      <c r="N628" s="125" t="s">
        <v>330</v>
      </c>
      <c r="O628" s="174" t="s">
        <v>886</v>
      </c>
      <c r="P628" s="174" t="s">
        <v>161</v>
      </c>
      <c r="Q628" s="129" t="s">
        <v>333</v>
      </c>
      <c r="R628" s="174" t="s">
        <v>331</v>
      </c>
      <c r="S628" s="174" t="str">
        <f>MID(PAA[[#This Row],[Meta Proyecto de Inversión]],1,4)</f>
        <v>No a</v>
      </c>
      <c r="T628" s="174" t="str">
        <f>MID(PAA[[#This Row],[Meta Proyecto de Inversión]],6,2)</f>
        <v>li</v>
      </c>
      <c r="U628" s="179" t="str">
        <f>IFERROR(VLOOKUP(N628,TD!$B$54:$F$58,2,0)," ")</f>
        <v>NA</v>
      </c>
      <c r="V628" s="179" t="str">
        <f>IFERROR(VLOOKUP(N628,TD!$B$54:$F$58,3,0)," ")</f>
        <v>NA</v>
      </c>
      <c r="W628" s="179" t="str">
        <f>IFERROR(VLOOKUP(N628,TD!$B$54:$F$58,4,0)," ")</f>
        <v>NA</v>
      </c>
      <c r="X628" s="186" t="s">
        <v>335</v>
      </c>
      <c r="Y628" s="172" t="str">
        <f>IFERROR(VLOOKUP(X628,TD!$J$55:$K$68,2,0)," ")</f>
        <v>N/A</v>
      </c>
      <c r="Z628" s="180" t="str">
        <f>CONCATENATE(X628,"-",Y628)</f>
        <v>N/A-N/A</v>
      </c>
      <c r="AA628" s="186" t="s">
        <v>335</v>
      </c>
      <c r="AB628" s="172" t="str">
        <f>IFERROR(VLOOKUP(AA628,TD!$N$55:$O$70,2,0)," ")</f>
        <v>N/A</v>
      </c>
      <c r="AC628" s="180" t="str">
        <f>CONCATENATE(AA628,"_",AB628)</f>
        <v>N/A_N/A</v>
      </c>
      <c r="AD628" s="180" t="str">
        <f>CONCATENATE(Z628," ",AC628)</f>
        <v>N/A-N/A N/A_N/A</v>
      </c>
      <c r="AE628" s="179" t="str">
        <f>CONCATENATE(U628,V628,W628,X628,AA628)</f>
        <v>NANANAN/AN/A</v>
      </c>
      <c r="AF628" s="167" t="str">
        <f>IFERROR(VLOOKUP(AD628,TD!$J$70:$K$93,2,0)," ")</f>
        <v>N/A</v>
      </c>
      <c r="AG628" s="130" t="s">
        <v>332</v>
      </c>
      <c r="AH628" s="181" t="s">
        <v>193</v>
      </c>
      <c r="AI628" s="189" t="str">
        <f>CONCATENATE(PAA[[#This Row],[Id Interno]],"-",PAA[[#This Row],[tipo de Contrato (TH talento humano - B/S bienes y/o servicios)]],"-",S628,"-",T628,"-",PAA[[#This Row],[Objeto de la contratación]])</f>
        <v>20260620-BS-No a-li-SGH - INCENTIVOS</v>
      </c>
    </row>
    <row r="629" spans="2:35" ht="56" x14ac:dyDescent="0.35">
      <c r="B629" s="137">
        <v>20260621</v>
      </c>
      <c r="C629" s="117" t="s">
        <v>910</v>
      </c>
      <c r="D629" s="125" t="s">
        <v>105</v>
      </c>
      <c r="E629" s="125" t="s">
        <v>363</v>
      </c>
      <c r="F629" s="125" t="s">
        <v>144</v>
      </c>
      <c r="G629" s="126" t="s">
        <v>373</v>
      </c>
      <c r="H629" s="132">
        <v>3</v>
      </c>
      <c r="I629" s="132">
        <v>0</v>
      </c>
      <c r="J629" s="127">
        <v>29400000</v>
      </c>
      <c r="K629" s="128" t="s">
        <v>398</v>
      </c>
      <c r="L629" s="176" t="s">
        <v>154</v>
      </c>
      <c r="M629" s="174" t="s">
        <v>438</v>
      </c>
      <c r="N629" s="125" t="s">
        <v>197</v>
      </c>
      <c r="O629" s="174" t="s">
        <v>886</v>
      </c>
      <c r="P629" s="174" t="s">
        <v>348</v>
      </c>
      <c r="Q629" s="129">
        <v>80111600</v>
      </c>
      <c r="R629" s="174" t="s">
        <v>208</v>
      </c>
      <c r="S629" s="174" t="str">
        <f>MID(PAA[[#This Row],[Meta Proyecto de Inversión]],1,4)</f>
        <v>8126</v>
      </c>
      <c r="T629" s="174" t="str">
        <f>MID(PAA[[#This Row],[Meta Proyecto de Inversión]],6,2)</f>
        <v>9-</v>
      </c>
      <c r="U629" s="179" t="str">
        <f>IFERROR(VLOOKUP(N629,TD!$B$54:$F$58,2,0)," ")</f>
        <v>O230117</v>
      </c>
      <c r="V629" s="179" t="str">
        <f>IFERROR(VLOOKUP(N629,TD!$B$54:$F$58,3,0)," ")</f>
        <v>4599</v>
      </c>
      <c r="W629" s="179">
        <f>IFERROR(VLOOKUP(N629,TD!$B$54:$F$58,4,0)," ")</f>
        <v>20240207</v>
      </c>
      <c r="X629" s="186" t="s">
        <v>174</v>
      </c>
      <c r="Y629" s="172" t="str">
        <f>IFERROR(VLOOKUP(X629,TD!$J$55:$K$68,2,0)," ")</f>
        <v>Infraestructura física, mantenimiento y dotación (Sedes construidas, mantenidas reforzadas)</v>
      </c>
      <c r="Z629" s="180" t="str">
        <f>CONCATENATE(X629,"-",Y629)</f>
        <v>08-Infraestructura física, mantenimiento y dotación (Sedes construidas, mantenidas reforzadas)</v>
      </c>
      <c r="AA629" s="186" t="s">
        <v>227</v>
      </c>
      <c r="AB629" s="172" t="str">
        <f>IFERROR(VLOOKUP(AA629,TD!$N$55:$O$70,2,0)," ")</f>
        <v>Sedes mantenidas</v>
      </c>
      <c r="AC629" s="180" t="str">
        <f>CONCATENATE(AA629,"_",AB629)</f>
        <v>016_Sedes mantenidas</v>
      </c>
      <c r="AD629" s="180" t="str">
        <f>CONCATENATE(Z629," ",AC629)</f>
        <v>08-Infraestructura física, mantenimiento y dotación (Sedes construidas, mantenidas reforzadas) 016_Sedes mantenidas</v>
      </c>
      <c r="AE629" s="179" t="str">
        <f>CONCATENATE(U629,V629,W629,X629,AA629)</f>
        <v>O23011745992024020708016</v>
      </c>
      <c r="AF629" s="167" t="str">
        <f>IFERROR(VLOOKUP(AD629,TD!$J$70:$K$93,2,0)," ")</f>
        <v>PM/0131/0108/45990160207</v>
      </c>
      <c r="AG629" s="130" t="s">
        <v>385</v>
      </c>
      <c r="AH629" s="181" t="s">
        <v>193</v>
      </c>
      <c r="AI629" s="184" t="str">
        <f>CONCATENATE(PAA[[#This Row],[Id Interno]],"-",PAA[[#This Row],[tipo de Contrato (TH talento humano - B/S bienes y/o servicios)]],"-",S629,"-",T629,"-",PAA[[#This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630" spans="2:35" ht="98" x14ac:dyDescent="0.35">
      <c r="B630" s="137">
        <v>20260622</v>
      </c>
      <c r="C630" s="117" t="s">
        <v>931</v>
      </c>
      <c r="D630" s="125" t="s">
        <v>114</v>
      </c>
      <c r="E630" s="125" t="s">
        <v>402</v>
      </c>
      <c r="F630" s="125" t="s">
        <v>111</v>
      </c>
      <c r="G630" s="126" t="s">
        <v>375</v>
      </c>
      <c r="H630" s="132">
        <v>10</v>
      </c>
      <c r="I630" s="132">
        <v>0</v>
      </c>
      <c r="J630" s="127">
        <v>1050000000</v>
      </c>
      <c r="K630" s="128" t="s">
        <v>398</v>
      </c>
      <c r="L630" s="176" t="s">
        <v>157</v>
      </c>
      <c r="M630" s="174" t="s">
        <v>483</v>
      </c>
      <c r="N630" s="125" t="s">
        <v>198</v>
      </c>
      <c r="O630" s="174" t="s">
        <v>887</v>
      </c>
      <c r="P630" s="174" t="s">
        <v>348</v>
      </c>
      <c r="Q630" s="129">
        <v>15101500</v>
      </c>
      <c r="R630" s="174" t="s">
        <v>213</v>
      </c>
      <c r="S630" s="174" t="str">
        <f>MID(PAA[[#This Row],[Meta Proyecto de Inversión]],1,4)</f>
        <v>8173</v>
      </c>
      <c r="T630" s="174" t="str">
        <f>MID(PAA[[#This Row],[Meta Proyecto de Inversión]],6,2)</f>
        <v>4-</v>
      </c>
      <c r="U630" s="179" t="str">
        <f>IFERROR(VLOOKUP(N630,TD!$B$54:$F$58,2,0)," ")</f>
        <v>O230117</v>
      </c>
      <c r="V630" s="179" t="str">
        <f>IFERROR(VLOOKUP(N630,TD!$B$54:$F$58,3,0)," ")</f>
        <v>4503</v>
      </c>
      <c r="W630" s="179">
        <f>IFERROR(VLOOKUP(N630,TD!$B$54:$F$58,4,0)," ")</f>
        <v>20240255</v>
      </c>
      <c r="X630" s="174" t="s">
        <v>180</v>
      </c>
      <c r="Y630" s="167" t="str">
        <f>IFERROR(VLOOKUP(X630,TD!$J$55:$K$68,2,0)," ")</f>
        <v>Servicio de apoyo   logístico  en eventos operativos y/o emergencias.</v>
      </c>
      <c r="Z630" s="180" t="str">
        <f>CONCATENATE(X630,"-",Y630)</f>
        <v>12-Servicio de apoyo   logístico  en eventos operativos y/o emergencias.</v>
      </c>
      <c r="AA630" s="174" t="s">
        <v>221</v>
      </c>
      <c r="AB630" s="167" t="str">
        <f>IFERROR(VLOOKUP(AA630,TD!$N$55:$O$70,2,0)," ")</f>
        <v>Servicio de atención a emergencias y desastres</v>
      </c>
      <c r="AC630" s="180" t="str">
        <f>CONCATENATE(AA630,"_",AB630)</f>
        <v>004_Servicio de atención a emergencias y desastres</v>
      </c>
      <c r="AD630" s="180" t="str">
        <f>CONCATENATE(Z630," ",AC630)</f>
        <v>12-Servicio de apoyo   logístico  en eventos operativos y/o emergencias. 004_Servicio de atención a emergencias y desastres</v>
      </c>
      <c r="AE630" s="179" t="str">
        <f>CONCATENATE(U630,V630,W630,X630,AA630)</f>
        <v>O23011745032024025512004</v>
      </c>
      <c r="AF630" s="167" t="str">
        <f>IFERROR(VLOOKUP(AD630,TD!$J$70:$K$93,2,0)," ")</f>
        <v>PM/0131/0112/45030040255</v>
      </c>
      <c r="AG630" s="130" t="s">
        <v>85</v>
      </c>
      <c r="AH630" s="181" t="s">
        <v>193</v>
      </c>
      <c r="AI630" s="184" t="str">
        <f>CONCATENATE(PAA[[#This Row],[Id Interno]],"-",PAA[[#This Row],[tipo de Contrato (TH talento humano - B/S bienes y/o servicios)]],"-",S630,"-",T630,"-",PAA[[#This Row],[Objeto de la contratación]])</f>
        <v>20260622-BS-8173-4--Suministrar combustible para el parque automotor y los equipos especializados de la U.A.E. Cuerpo Oficial de Bomberos Bogotá, dentro y fuera del perímetro del Distrito Capital – SBLG.</v>
      </c>
    </row>
    <row r="631" spans="2:35" ht="56" x14ac:dyDescent="0.35">
      <c r="B631" s="137">
        <v>20260623</v>
      </c>
      <c r="C631" s="117" t="s">
        <v>651</v>
      </c>
      <c r="D631" s="125" t="s">
        <v>105</v>
      </c>
      <c r="E631" s="125" t="s">
        <v>363</v>
      </c>
      <c r="F631" s="125" t="s">
        <v>145</v>
      </c>
      <c r="G631" s="126" t="s">
        <v>373</v>
      </c>
      <c r="H631" s="132">
        <v>6</v>
      </c>
      <c r="I631" s="132">
        <v>0</v>
      </c>
      <c r="J631" s="127">
        <v>16890834</v>
      </c>
      <c r="K631" s="128" t="s">
        <v>398</v>
      </c>
      <c r="L631" s="176" t="s">
        <v>155</v>
      </c>
      <c r="M631" s="174" t="s">
        <v>422</v>
      </c>
      <c r="N631" s="125" t="s">
        <v>197</v>
      </c>
      <c r="O631" s="174" t="s">
        <v>886</v>
      </c>
      <c r="P631" s="174" t="s">
        <v>348</v>
      </c>
      <c r="Q631" s="129" t="s">
        <v>725</v>
      </c>
      <c r="R631" s="174" t="s">
        <v>208</v>
      </c>
      <c r="S631" s="174" t="str">
        <f>MID(PAA[[#This Row],[Meta Proyecto de Inversión]],1,4)</f>
        <v>8126</v>
      </c>
      <c r="T631" s="174" t="str">
        <f>MID(PAA[[#This Row],[Meta Proyecto de Inversión]],6,2)</f>
        <v>9-</v>
      </c>
      <c r="U631" s="179" t="str">
        <f>IFERROR(VLOOKUP(N631,TD!$B$54:$F$58,2,0)," ")</f>
        <v>O230117</v>
      </c>
      <c r="V631" s="179" t="str">
        <f>IFERROR(VLOOKUP(N631,TD!$B$54:$F$58,3,0)," ")</f>
        <v>4599</v>
      </c>
      <c r="W631" s="179">
        <f>IFERROR(VLOOKUP(N631,TD!$B$54:$F$58,4,0)," ")</f>
        <v>20240207</v>
      </c>
      <c r="X631" s="174" t="s">
        <v>174</v>
      </c>
      <c r="Y631" s="167" t="str">
        <f>IFERROR(VLOOKUP(X631,TD!$J$55:$K$68,2,0)," ")</f>
        <v>Infraestructura física, mantenimiento y dotación (Sedes construidas, mantenidas reforzadas)</v>
      </c>
      <c r="Z631" s="180" t="str">
        <f>CONCATENATE(X631,"-",Y631)</f>
        <v>08-Infraestructura física, mantenimiento y dotación (Sedes construidas, mantenidas reforzadas)</v>
      </c>
      <c r="AA631" s="174" t="s">
        <v>227</v>
      </c>
      <c r="AB631" s="167" t="str">
        <f>IFERROR(VLOOKUP(AA631,TD!$N$55:$O$70,2,0)," ")</f>
        <v>Sedes mantenidas</v>
      </c>
      <c r="AC631" s="180" t="str">
        <f>CONCATENATE(AA631,"_",AB631)</f>
        <v>016_Sedes mantenidas</v>
      </c>
      <c r="AD631" s="180" t="str">
        <f>CONCATENATE(Z631," ",AC631)</f>
        <v>08-Infraestructura física, mantenimiento y dotación (Sedes construidas, mantenidas reforzadas) 016_Sedes mantenidas</v>
      </c>
      <c r="AE631" s="179" t="str">
        <f>CONCATENATE(U631,V631,W631,X631,AA631)</f>
        <v>O23011745992024020708016</v>
      </c>
      <c r="AF631" s="167" t="str">
        <f>IFERROR(VLOOKUP(AD631,TD!$J$70:$K$93,2,0)," ")</f>
        <v>PM/0131/0108/45990160207</v>
      </c>
      <c r="AG631" s="130" t="s">
        <v>385</v>
      </c>
      <c r="AH631" s="181" t="s">
        <v>193</v>
      </c>
      <c r="AI631" s="184" t="str">
        <f>CONCATENATE(PAA[[#This Row],[Id Interno]],"-",PAA[[#This Row],[tipo de Contrato (TH talento humano - B/S bienes y/o servicios)]],"-",S631,"-",T631,"-",PAA[[#This Row],[Objeto de la contratación]])</f>
        <v>20260623-TH-8126-9--Prestación de servicios de apoyo a la gestión documental de la Subdirección de Gestión Corporativa de la Unidad.-SGC</v>
      </c>
    </row>
    <row r="632" spans="2:35" ht="42" x14ac:dyDescent="0.35">
      <c r="B632" s="137">
        <v>20260624</v>
      </c>
      <c r="C632" s="117" t="s">
        <v>911</v>
      </c>
      <c r="D632" s="125" t="s">
        <v>105</v>
      </c>
      <c r="E632" s="125" t="s">
        <v>363</v>
      </c>
      <c r="F632" s="125" t="s">
        <v>145</v>
      </c>
      <c r="G632" s="126" t="s">
        <v>373</v>
      </c>
      <c r="H632" s="132">
        <v>6</v>
      </c>
      <c r="I632" s="132">
        <v>0</v>
      </c>
      <c r="J632" s="127">
        <v>22118946</v>
      </c>
      <c r="K632" s="128" t="s">
        <v>398</v>
      </c>
      <c r="L632" s="176" t="s">
        <v>155</v>
      </c>
      <c r="M632" s="174" t="s">
        <v>422</v>
      </c>
      <c r="N632" s="125" t="s">
        <v>197</v>
      </c>
      <c r="O632" s="174" t="s">
        <v>886</v>
      </c>
      <c r="P632" s="174" t="s">
        <v>348</v>
      </c>
      <c r="Q632" s="129" t="s">
        <v>725</v>
      </c>
      <c r="R632" s="174" t="s">
        <v>208</v>
      </c>
      <c r="S632" s="174" t="str">
        <f>MID(PAA[[#This Row],[Meta Proyecto de Inversión]],1,4)</f>
        <v>8126</v>
      </c>
      <c r="T632" s="166" t="str">
        <f>MID(PAA[[#This Row],[Meta Proyecto de Inversión]],6,2)</f>
        <v>9-</v>
      </c>
      <c r="U632" s="179" t="str">
        <f>IFERROR(VLOOKUP(N632,TD!$B$54:$F$58,2,0)," ")</f>
        <v>O230117</v>
      </c>
      <c r="V632" s="179" t="str">
        <f>IFERROR(VLOOKUP(N632,TD!$B$54:$F$58,3,0)," ")</f>
        <v>4599</v>
      </c>
      <c r="W632" s="179">
        <f>IFERROR(VLOOKUP(N632,TD!$B$54:$F$58,4,0)," ")</f>
        <v>20240207</v>
      </c>
      <c r="X632" s="174" t="s">
        <v>174</v>
      </c>
      <c r="Y632" s="167" t="str">
        <f>IFERROR(VLOOKUP(X632,TD!$J$55:$K$68,2,0)," ")</f>
        <v>Infraestructura física, mantenimiento y dotación (Sedes construidas, mantenidas reforzadas)</v>
      </c>
      <c r="Z632" s="180" t="str">
        <f>CONCATENATE(X632,"-",Y632)</f>
        <v>08-Infraestructura física, mantenimiento y dotación (Sedes construidas, mantenidas reforzadas)</v>
      </c>
      <c r="AA632" s="174" t="s">
        <v>227</v>
      </c>
      <c r="AB632" s="167" t="str">
        <f>IFERROR(VLOOKUP(AA632,TD!$N$55:$O$70,2,0)," ")</f>
        <v>Sedes mantenidas</v>
      </c>
      <c r="AC632" s="180" t="str">
        <f>CONCATENATE(AA632,"_",AB632)</f>
        <v>016_Sedes mantenidas</v>
      </c>
      <c r="AD632" s="180" t="str">
        <f>CONCATENATE(Z632," ",AC632)</f>
        <v>08-Infraestructura física, mantenimiento y dotación (Sedes construidas, mantenidas reforzadas) 016_Sedes mantenidas</v>
      </c>
      <c r="AE632" s="179" t="str">
        <f>CONCATENATE(U632,V632,W632,X632,AA632)</f>
        <v>O23011745992024020708016</v>
      </c>
      <c r="AF632" s="167" t="str">
        <f>IFERROR(VLOOKUP(AD632,TD!$J$70:$K$93,2,0)," ")</f>
        <v>PM/0131/0108/45990160207</v>
      </c>
      <c r="AG632" s="130" t="s">
        <v>385</v>
      </c>
      <c r="AH632" s="181" t="s">
        <v>193</v>
      </c>
      <c r="AI632" s="184" t="str">
        <f>CONCATENATE(PAA[[#This Row],[Id Interno]],"-",PAA[[#This Row],[tipo de Contrato (TH talento humano - B/S bienes y/o servicios)]],"-",S632,"-",T632,"-",PAA[[#This Row],[Objeto de la contratación]])</f>
        <v>20260624-TH-8126-9-- Prestación de servicios de apoyo a la gestión en la Subdirección de Gestión Corporativa, en las actividades asociadas a los procesos y procedimientos del almacén de la Entidad.- SGC</v>
      </c>
    </row>
    <row r="633" spans="2:35" ht="56" x14ac:dyDescent="0.35">
      <c r="B633" s="137">
        <v>20260625</v>
      </c>
      <c r="C633" s="117" t="s">
        <v>912</v>
      </c>
      <c r="D633" s="125" t="s">
        <v>105</v>
      </c>
      <c r="E633" s="125" t="s">
        <v>363</v>
      </c>
      <c r="F633" s="125" t="s">
        <v>144</v>
      </c>
      <c r="G633" s="126" t="s">
        <v>373</v>
      </c>
      <c r="H633" s="132">
        <v>7</v>
      </c>
      <c r="I633" s="132">
        <v>0</v>
      </c>
      <c r="J633" s="127">
        <v>54600000</v>
      </c>
      <c r="K633" s="128" t="s">
        <v>398</v>
      </c>
      <c r="L633" s="176" t="s">
        <v>154</v>
      </c>
      <c r="M633" s="174" t="s">
        <v>438</v>
      </c>
      <c r="N633" s="125" t="s">
        <v>198</v>
      </c>
      <c r="O633" s="174" t="s">
        <v>887</v>
      </c>
      <c r="P633" s="174" t="s">
        <v>348</v>
      </c>
      <c r="Q633" s="129">
        <v>80111600</v>
      </c>
      <c r="R633" s="174" t="s">
        <v>218</v>
      </c>
      <c r="S633" s="174" t="str">
        <f>MID(PAA[[#This Row],[Meta Proyecto de Inversión]],1,4)</f>
        <v>8173</v>
      </c>
      <c r="T633" s="174" t="str">
        <f>MID(PAA[[#This Row],[Meta Proyecto de Inversión]],6,2)</f>
        <v>9-</v>
      </c>
      <c r="U633" s="179" t="str">
        <f>IFERROR(VLOOKUP(N633,TD!$B$54:$F$58,2,0)," ")</f>
        <v>O230117</v>
      </c>
      <c r="V633" s="179" t="str">
        <f>IFERROR(VLOOKUP(N633,TD!$B$54:$F$58,3,0)," ")</f>
        <v>4503</v>
      </c>
      <c r="W633" s="179">
        <f>IFERROR(VLOOKUP(N633,TD!$B$54:$F$58,4,0)," ")</f>
        <v>20240255</v>
      </c>
      <c r="X633" s="174" t="s">
        <v>172</v>
      </c>
      <c r="Y633" s="167" t="str">
        <f>IFERROR(VLOOKUP(X633,TD!$J$55:$K$68,2,0)," ")</f>
        <v>Servicio de formación en gestión del riesgo de incendios para el personal UAECOB</v>
      </c>
      <c r="Z633" s="180" t="str">
        <f>CONCATENATE(X633,"-",Y633)</f>
        <v>07-Servicio de formación en gestión del riesgo de incendios para el personal UAECOB</v>
      </c>
      <c r="AA633" s="174" t="s">
        <v>222</v>
      </c>
      <c r="AB633" s="167" t="str">
        <f>IFERROR(VLOOKUP(AA633,TD!$N$55:$O$70,2,0)," ")</f>
        <v>Servicio de educación informal</v>
      </c>
      <c r="AC633" s="180" t="str">
        <f>CONCATENATE(AA633,"_",AB633)</f>
        <v>002_Servicio de educación informal</v>
      </c>
      <c r="AD633" s="180" t="str">
        <f>CONCATENATE(Z633," ",AC633)</f>
        <v>07-Servicio de formación en gestión del riesgo de incendios para el personal UAECOB 002_Servicio de educación informal</v>
      </c>
      <c r="AE633" s="179" t="str">
        <f>CONCATENATE(U633,V633,W633,X633,AA633)</f>
        <v>O23011745032024025507002</v>
      </c>
      <c r="AF633" s="167" t="str">
        <f>IFERROR(VLOOKUP(AD633,TD!$J$70:$K$93,2,0)," ")</f>
        <v>PM/0131/0107/45030020255</v>
      </c>
      <c r="AG633" s="130" t="s">
        <v>385</v>
      </c>
      <c r="AH633" s="181" t="s">
        <v>193</v>
      </c>
      <c r="AI633" s="184" t="str">
        <f>CONCATENATE(PAA[[#This Row],[Id Interno]],"-",PAA[[#This Row],[tipo de Contrato (TH talento humano - B/S bienes y/o servicios)]],"-",S633,"-",T633,"-",PAA[[#This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634" spans="2:35" ht="84" x14ac:dyDescent="0.35">
      <c r="B634" s="137">
        <v>20260626</v>
      </c>
      <c r="C634" s="117" t="s">
        <v>913</v>
      </c>
      <c r="D634" s="125" t="s">
        <v>105</v>
      </c>
      <c r="E634" s="125" t="s">
        <v>363</v>
      </c>
      <c r="F634" s="125" t="s">
        <v>145</v>
      </c>
      <c r="G634" s="126" t="s">
        <v>373</v>
      </c>
      <c r="H634" s="132">
        <v>7</v>
      </c>
      <c r="I634" s="132">
        <v>0</v>
      </c>
      <c r="J634" s="127">
        <v>25830000</v>
      </c>
      <c r="K634" s="128" t="s">
        <v>398</v>
      </c>
      <c r="L634" s="176" t="s">
        <v>154</v>
      </c>
      <c r="M634" s="174" t="s">
        <v>438</v>
      </c>
      <c r="N634" s="125" t="s">
        <v>198</v>
      </c>
      <c r="O634" s="174" t="s">
        <v>887</v>
      </c>
      <c r="P634" s="174" t="s">
        <v>348</v>
      </c>
      <c r="Q634" s="129">
        <v>80111600</v>
      </c>
      <c r="R634" s="174" t="s">
        <v>218</v>
      </c>
      <c r="S634" s="174" t="str">
        <f>MID(PAA[[#This Row],[Meta Proyecto de Inversión]],1,4)</f>
        <v>8173</v>
      </c>
      <c r="T634" s="174" t="str">
        <f>MID(PAA[[#This Row],[Meta Proyecto de Inversión]],6,2)</f>
        <v>9-</v>
      </c>
      <c r="U634" s="179" t="str">
        <f>IFERROR(VLOOKUP(N634,TD!$B$54:$F$58,2,0)," ")</f>
        <v>O230117</v>
      </c>
      <c r="V634" s="179" t="str">
        <f>IFERROR(VLOOKUP(N634,TD!$B$54:$F$58,3,0)," ")</f>
        <v>4503</v>
      </c>
      <c r="W634" s="179">
        <f>IFERROR(VLOOKUP(N634,TD!$B$54:$F$58,4,0)," ")</f>
        <v>20240255</v>
      </c>
      <c r="X634" s="174" t="s">
        <v>172</v>
      </c>
      <c r="Y634" s="167" t="str">
        <f>IFERROR(VLOOKUP(X634,TD!$J$55:$K$68,2,0)," ")</f>
        <v>Servicio de formación en gestión del riesgo de incendios para el personal UAECOB</v>
      </c>
      <c r="Z634" s="180" t="str">
        <f>CONCATENATE(X634,"-",Y634)</f>
        <v>07-Servicio de formación en gestión del riesgo de incendios para el personal UAECOB</v>
      </c>
      <c r="AA634" s="174" t="s">
        <v>222</v>
      </c>
      <c r="AB634" s="167" t="str">
        <f>IFERROR(VLOOKUP(AA634,TD!$N$55:$O$70,2,0)," ")</f>
        <v>Servicio de educación informal</v>
      </c>
      <c r="AC634" s="180" t="str">
        <f>CONCATENATE(AA634,"_",AB634)</f>
        <v>002_Servicio de educación informal</v>
      </c>
      <c r="AD634" s="180" t="str">
        <f>CONCATENATE(Z634," ",AC634)</f>
        <v>07-Servicio de formación en gestión del riesgo de incendios para el personal UAECOB 002_Servicio de educación informal</v>
      </c>
      <c r="AE634" s="179" t="str">
        <f>CONCATENATE(U634,V634,W634,X634,AA634)</f>
        <v>O23011745032024025507002</v>
      </c>
      <c r="AF634" s="167" t="str">
        <f>IFERROR(VLOOKUP(AD634,TD!$J$70:$K$93,2,0)," ")</f>
        <v>PM/0131/0107/45030020255</v>
      </c>
      <c r="AG634" s="130" t="s">
        <v>385</v>
      </c>
      <c r="AH634" s="181" t="s">
        <v>193</v>
      </c>
      <c r="AI634" s="184" t="str">
        <f>CONCATENATE(PAA[[#This Row],[Id Interno]],"-",PAA[[#This Row],[tipo de Contrato (TH talento humano - B/S bienes y/o servicios)]],"-",S634,"-",T634,"-",PAA[[#This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35" spans="2:35" ht="98" x14ac:dyDescent="0.35">
      <c r="B635" s="137">
        <v>20260627</v>
      </c>
      <c r="C635" s="117" t="s">
        <v>916</v>
      </c>
      <c r="D635" s="125" t="s">
        <v>105</v>
      </c>
      <c r="E635" s="125" t="s">
        <v>363</v>
      </c>
      <c r="F635" s="125" t="s">
        <v>145</v>
      </c>
      <c r="G635" s="126" t="s">
        <v>373</v>
      </c>
      <c r="H635" s="132">
        <v>7</v>
      </c>
      <c r="I635" s="132">
        <v>0</v>
      </c>
      <c r="J635" s="127">
        <v>25802000</v>
      </c>
      <c r="K635" s="128" t="s">
        <v>398</v>
      </c>
      <c r="L635" s="176" t="s">
        <v>158</v>
      </c>
      <c r="M635" s="174" t="s">
        <v>421</v>
      </c>
      <c r="N635" s="125" t="s">
        <v>198</v>
      </c>
      <c r="O635" s="174" t="s">
        <v>887</v>
      </c>
      <c r="P635" s="174" t="s">
        <v>348</v>
      </c>
      <c r="Q635" s="129">
        <v>80111600</v>
      </c>
      <c r="R635" s="174" t="s">
        <v>211</v>
      </c>
      <c r="S635" s="174" t="str">
        <f>MID(PAA[[#This Row],[Meta Proyecto de Inversión]],1,4)</f>
        <v>8173</v>
      </c>
      <c r="T635" s="174" t="str">
        <f>MID(PAA[[#This Row],[Meta Proyecto de Inversión]],6,2)</f>
        <v>2-</v>
      </c>
      <c r="U635" s="179" t="str">
        <f>IFERROR(VLOOKUP(N635,TD!$B$54:$F$58,2,0)," ")</f>
        <v>O230117</v>
      </c>
      <c r="V635" s="179" t="str">
        <f>IFERROR(VLOOKUP(N635,TD!$B$54:$F$58,3,0)," ")</f>
        <v>4503</v>
      </c>
      <c r="W635" s="179">
        <f>IFERROR(VLOOKUP(N635,TD!$B$54:$F$58,4,0)," ")</f>
        <v>20240255</v>
      </c>
      <c r="X635" s="166" t="s">
        <v>164</v>
      </c>
      <c r="Y635" s="167" t="str">
        <f>IFERROR(VLOOKUP(X635,TD!$J$55:$K$68,2,0)," ")</f>
        <v>Servicio de atención a incidentes y emergencias.</v>
      </c>
      <c r="Z635" s="180" t="str">
        <f>CONCATENATE(X635,"-",Y635)</f>
        <v>04-Servicio de atención a incidentes y emergencias.</v>
      </c>
      <c r="AA635" s="166" t="s">
        <v>221</v>
      </c>
      <c r="AB635" s="167" t="str">
        <f>IFERROR(VLOOKUP(AA635,TD!$N$55:$O$70,2,0)," ")</f>
        <v>Servicio de atención a emergencias y desastres</v>
      </c>
      <c r="AC635" s="180" t="str">
        <f>CONCATENATE(AA635,"_",AB635)</f>
        <v>004_Servicio de atención a emergencias y desastres</v>
      </c>
      <c r="AD635" s="180" t="str">
        <f>CONCATENATE(Z635," ",AC635)</f>
        <v>04-Servicio de atención a incidentes y emergencias. 004_Servicio de atención a emergencias y desastres</v>
      </c>
      <c r="AE635" s="179" t="str">
        <f>CONCATENATE(U635,V635,W635,X635,AA635)</f>
        <v>O23011745032024025504004</v>
      </c>
      <c r="AF635" s="167" t="str">
        <f>IFERROR(VLOOKUP(AD635,TD!$J$70:$K$93,2,0)," ")</f>
        <v>PM/0131/0104/45030040255</v>
      </c>
      <c r="AG635" s="130" t="s">
        <v>385</v>
      </c>
      <c r="AH635" s="181" t="s">
        <v>193</v>
      </c>
      <c r="AI635" s="184" t="str">
        <f>CONCATENATE(PAA[[#This Row],[Id Interno]],"-",PAA[[#This Row],[tipo de Contrato (TH talento humano - B/S bienes y/o servicios)]],"-",S635,"-",T635,"-",PAA[[#This Row],[Objeto de la contratación]])</f>
        <v>20260627-TH-8173-2--Prestación de servicios de apoyo para el desarrollo de las actividades y trámites administrativos y operativos relacionados con los procesos que se encuentran a cargo de la Subdirección Operativa-SO.</v>
      </c>
    </row>
    <row r="636" spans="2:35" ht="56" x14ac:dyDescent="0.35">
      <c r="B636" s="137">
        <v>20260628</v>
      </c>
      <c r="C636" s="117" t="s">
        <v>917</v>
      </c>
      <c r="D636" s="125" t="s">
        <v>105</v>
      </c>
      <c r="E636" s="125" t="s">
        <v>363</v>
      </c>
      <c r="F636" s="125" t="s">
        <v>145</v>
      </c>
      <c r="G636" s="126" t="s">
        <v>374</v>
      </c>
      <c r="H636" s="132">
        <v>4</v>
      </c>
      <c r="I636" s="132">
        <v>0</v>
      </c>
      <c r="J636" s="127">
        <v>13136000</v>
      </c>
      <c r="K636" s="128" t="s">
        <v>398</v>
      </c>
      <c r="L636" s="176" t="s">
        <v>158</v>
      </c>
      <c r="M636" s="174" t="s">
        <v>421</v>
      </c>
      <c r="N636" s="125" t="s">
        <v>198</v>
      </c>
      <c r="O636" s="174" t="s">
        <v>887</v>
      </c>
      <c r="P636" s="174" t="s">
        <v>348</v>
      </c>
      <c r="Q636" s="129">
        <v>80111600</v>
      </c>
      <c r="R636" s="174" t="s">
        <v>211</v>
      </c>
      <c r="S636" s="174" t="str">
        <f>MID(PAA[[#This Row],[Meta Proyecto de Inversión]],1,4)</f>
        <v>8173</v>
      </c>
      <c r="T636" s="174" t="str">
        <f>MID(PAA[[#This Row],[Meta Proyecto de Inversión]],6,2)</f>
        <v>2-</v>
      </c>
      <c r="U636" s="179" t="str">
        <f>IFERROR(VLOOKUP(N636,TD!$B$54:$F$58,2,0)," ")</f>
        <v>O230117</v>
      </c>
      <c r="V636" s="179" t="str">
        <f>IFERROR(VLOOKUP(N636,TD!$B$54:$F$58,3,0)," ")</f>
        <v>4503</v>
      </c>
      <c r="W636" s="179">
        <f>IFERROR(VLOOKUP(N636,TD!$B$54:$F$58,4,0)," ")</f>
        <v>20240255</v>
      </c>
      <c r="X636" s="174" t="s">
        <v>164</v>
      </c>
      <c r="Y636" s="167" t="str">
        <f>IFERROR(VLOOKUP(X636,TD!$J$55:$K$68,2,0)," ")</f>
        <v>Servicio de atención a incidentes y emergencias.</v>
      </c>
      <c r="Z636" s="180" t="str">
        <f>CONCATENATE(X636,"-",Y636)</f>
        <v>04-Servicio de atención a incidentes y emergencias.</v>
      </c>
      <c r="AA636" s="174" t="s">
        <v>221</v>
      </c>
      <c r="AB636" s="167" t="str">
        <f>IFERROR(VLOOKUP(AA636,TD!$N$55:$O$70,2,0)," ")</f>
        <v>Servicio de atención a emergencias y desastres</v>
      </c>
      <c r="AC636" s="180" t="str">
        <f>CONCATENATE(AA636,"_",AB636)</f>
        <v>004_Servicio de atención a emergencias y desastres</v>
      </c>
      <c r="AD636" s="180" t="str">
        <f>CONCATENATE(Z636," ",AC636)</f>
        <v>04-Servicio de atención a incidentes y emergencias. 004_Servicio de atención a emergencias y desastres</v>
      </c>
      <c r="AE636" s="179" t="str">
        <f>CONCATENATE(U636,V636,W636,X636,AA636)</f>
        <v>O23011745032024025504004</v>
      </c>
      <c r="AF636" s="167" t="str">
        <f>IFERROR(VLOOKUP(AD636,TD!$J$70:$K$93,2,0)," ")</f>
        <v>PM/0131/0104/45030040255</v>
      </c>
      <c r="AG636" s="130" t="s">
        <v>385</v>
      </c>
      <c r="AH636" s="181" t="s">
        <v>194</v>
      </c>
      <c r="AI636" s="184" t="str">
        <f>CONCATENATE(PAA[[#This Row],[Id Interno]],"-",PAA[[#This Row],[tipo de Contrato (TH talento humano - B/S bienes y/o servicios)]],"-",S636,"-",T636,"-",PAA[[#This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37" spans="2:35" ht="70" x14ac:dyDescent="0.35">
      <c r="B637" s="137">
        <v>20260629</v>
      </c>
      <c r="C637" s="117" t="s">
        <v>918</v>
      </c>
      <c r="D637" s="125" t="s">
        <v>105</v>
      </c>
      <c r="E637" s="125" t="s">
        <v>363</v>
      </c>
      <c r="F637" s="125" t="s">
        <v>144</v>
      </c>
      <c r="G637" s="126" t="s">
        <v>373</v>
      </c>
      <c r="H637" s="132">
        <v>7</v>
      </c>
      <c r="I637" s="132">
        <v>0</v>
      </c>
      <c r="J637" s="127">
        <v>49000000</v>
      </c>
      <c r="K637" s="128" t="s">
        <v>398</v>
      </c>
      <c r="L637" s="176" t="s">
        <v>158</v>
      </c>
      <c r="M637" s="174" t="s">
        <v>421</v>
      </c>
      <c r="N637" s="125" t="s">
        <v>198</v>
      </c>
      <c r="O637" s="174" t="s">
        <v>887</v>
      </c>
      <c r="P637" s="174" t="s">
        <v>348</v>
      </c>
      <c r="Q637" s="129">
        <v>80111600</v>
      </c>
      <c r="R637" s="174" t="s">
        <v>211</v>
      </c>
      <c r="S637" s="174" t="str">
        <f>MID(PAA[[#This Row],[Meta Proyecto de Inversión]],1,4)</f>
        <v>8173</v>
      </c>
      <c r="T637" s="174" t="str">
        <f>MID(PAA[[#This Row],[Meta Proyecto de Inversión]],6,2)</f>
        <v>2-</v>
      </c>
      <c r="U637" s="179" t="str">
        <f>IFERROR(VLOOKUP(N637,TD!$B$54:$F$58,2,0)," ")</f>
        <v>O230117</v>
      </c>
      <c r="V637" s="179" t="str">
        <f>IFERROR(VLOOKUP(N637,TD!$B$54:$F$58,3,0)," ")</f>
        <v>4503</v>
      </c>
      <c r="W637" s="179">
        <f>IFERROR(VLOOKUP(N637,TD!$B$54:$F$58,4,0)," ")</f>
        <v>20240255</v>
      </c>
      <c r="X637" s="174" t="s">
        <v>164</v>
      </c>
      <c r="Y637" s="167" t="str">
        <f>IFERROR(VLOOKUP(X637,TD!$J$55:$K$68,2,0)," ")</f>
        <v>Servicio de atención a incidentes y emergencias.</v>
      </c>
      <c r="Z637" s="180" t="str">
        <f>CONCATENATE(X637,"-",Y637)</f>
        <v>04-Servicio de atención a incidentes y emergencias.</v>
      </c>
      <c r="AA637" s="174" t="s">
        <v>221</v>
      </c>
      <c r="AB637" s="167" t="str">
        <f>IFERROR(VLOOKUP(AA637,TD!$N$55:$O$70,2,0)," ")</f>
        <v>Servicio de atención a emergencias y desastres</v>
      </c>
      <c r="AC637" s="180" t="str">
        <f>CONCATENATE(AA637,"_",AB637)</f>
        <v>004_Servicio de atención a emergencias y desastres</v>
      </c>
      <c r="AD637" s="180" t="str">
        <f>CONCATENATE(Z637," ",AC637)</f>
        <v>04-Servicio de atención a incidentes y emergencias. 004_Servicio de atención a emergencias y desastres</v>
      </c>
      <c r="AE637" s="179" t="str">
        <f>CONCATENATE(U637,V637,W637,X637,AA637)</f>
        <v>O23011745032024025504004</v>
      </c>
      <c r="AF637" s="167" t="str">
        <f>IFERROR(VLOOKUP(AD637,TD!$J$70:$K$93,2,0)," ")</f>
        <v>PM/0131/0104/45030040255</v>
      </c>
      <c r="AG637" s="130" t="s">
        <v>385</v>
      </c>
      <c r="AH637" s="181" t="s">
        <v>193</v>
      </c>
      <c r="AI637" s="184" t="str">
        <f>CONCATENATE(PAA[[#This Row],[Id Interno]],"-",PAA[[#This Row],[tipo de Contrato (TH talento humano - B/S bienes y/o servicios)]],"-",S637,"-",T637,"-",PAA[[#This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38" spans="2:35" ht="70" x14ac:dyDescent="0.35">
      <c r="B638" s="137">
        <v>20260630</v>
      </c>
      <c r="C638" s="117" t="s">
        <v>884</v>
      </c>
      <c r="D638" s="125" t="s">
        <v>105</v>
      </c>
      <c r="E638" s="125" t="s">
        <v>363</v>
      </c>
      <c r="F638" s="125" t="s">
        <v>145</v>
      </c>
      <c r="G638" s="126" t="s">
        <v>373</v>
      </c>
      <c r="H638" s="132">
        <v>7</v>
      </c>
      <c r="I638" s="132">
        <v>0</v>
      </c>
      <c r="J638" s="127">
        <v>26250000</v>
      </c>
      <c r="K638" s="128" t="s">
        <v>398</v>
      </c>
      <c r="L638" s="176" t="s">
        <v>156</v>
      </c>
      <c r="M638" s="174" t="s">
        <v>484</v>
      </c>
      <c r="N638" s="125" t="s">
        <v>198</v>
      </c>
      <c r="O638" s="174" t="s">
        <v>887</v>
      </c>
      <c r="P638" s="174" t="s">
        <v>348</v>
      </c>
      <c r="Q638" s="129">
        <v>80111600</v>
      </c>
      <c r="R638" s="174" t="s">
        <v>210</v>
      </c>
      <c r="S638" s="174" t="str">
        <f>MID(PAA[[#This Row],[Meta Proyecto de Inversión]],1,4)</f>
        <v>8173</v>
      </c>
      <c r="T638" s="174" t="str">
        <f>MID(PAA[[#This Row],[Meta Proyecto de Inversión]],6,2)</f>
        <v>1-</v>
      </c>
      <c r="U638" s="179" t="str">
        <f>IFERROR(VLOOKUP(N638,TD!$B$54:$F$58,2,0)," ")</f>
        <v>O230117</v>
      </c>
      <c r="V638" s="179" t="str">
        <f>IFERROR(VLOOKUP(N638,TD!$B$54:$F$58,3,0)," ")</f>
        <v>4503</v>
      </c>
      <c r="W638" s="179">
        <f>IFERROR(VLOOKUP(N638,TD!$B$54:$F$58,4,0)," ")</f>
        <v>20240255</v>
      </c>
      <c r="X638" s="174" t="s">
        <v>166</v>
      </c>
      <c r="Y638" s="167" t="str">
        <f>IFERROR(VLOOKUP(X638,TD!$J$55:$K$68,2,0)," ")</f>
        <v>Servicio de capacitaciones en gestión del riesgo de incendios  a la ciudadania.</v>
      </c>
      <c r="Z638" s="180" t="str">
        <f>CONCATENATE(X638,"-",Y638)</f>
        <v>05-Servicio de capacitaciones en gestión del riesgo de incendios  a la ciudadania.</v>
      </c>
      <c r="AA638" s="174" t="s">
        <v>223</v>
      </c>
      <c r="AB638" s="167" t="str">
        <f>IFERROR(VLOOKUP(AA638,TD!$N$55:$O$70,2,0)," ")</f>
        <v>Servicio prevención y control de incendios</v>
      </c>
      <c r="AC638" s="180" t="str">
        <f>CONCATENATE(AA638,"_",AB638)</f>
        <v>035_Servicio prevención y control de incendios</v>
      </c>
      <c r="AD638" s="180" t="str">
        <f>CONCATENATE(Z638," ",AC638)</f>
        <v>05-Servicio de capacitaciones en gestión del riesgo de incendios  a la ciudadania. 035_Servicio prevención y control de incendios</v>
      </c>
      <c r="AE638" s="179" t="str">
        <f>CONCATENATE(U638,V638,W638,X638,AA638)</f>
        <v>O23011745032024025505035</v>
      </c>
      <c r="AF638" s="167" t="str">
        <f>IFERROR(VLOOKUP(AD638,TD!$J$70:$K$93,2,0)," ")</f>
        <v>PM/0131/0105/45030350255</v>
      </c>
      <c r="AG638" s="130" t="s">
        <v>385</v>
      </c>
      <c r="AH638" s="181" t="s">
        <v>193</v>
      </c>
      <c r="AI638" s="184" t="str">
        <f>CONCATENATE(PAA[[#This Row],[Id Interno]],"-",PAA[[#This Row],[tipo de Contrato (TH talento humano - B/S bienes y/o servicios)]],"-",S638,"-",T638,"-",PAA[[#This Row],[Objeto de la contratación]])</f>
        <v>20260630-TH-8173-1--Prestar servicios de apoyo como conductor a las acciones misionales de la Subdirección de Gestión del Riesgo.</v>
      </c>
    </row>
    <row r="639" spans="2:35" ht="56" x14ac:dyDescent="0.35">
      <c r="B639" s="146">
        <v>20260631</v>
      </c>
      <c r="C639" s="117" t="s">
        <v>521</v>
      </c>
      <c r="D639" s="117" t="s">
        <v>105</v>
      </c>
      <c r="E639" s="117" t="s">
        <v>363</v>
      </c>
      <c r="F639" s="117" t="s">
        <v>144</v>
      </c>
      <c r="G639" s="126" t="s">
        <v>373</v>
      </c>
      <c r="H639" s="147">
        <v>6</v>
      </c>
      <c r="I639" s="147">
        <v>0</v>
      </c>
      <c r="J639" s="130">
        <v>21000000</v>
      </c>
      <c r="K639" s="148" t="s">
        <v>398</v>
      </c>
      <c r="L639" s="177" t="s">
        <v>156</v>
      </c>
      <c r="M639" s="186" t="s">
        <v>484</v>
      </c>
      <c r="N639" s="117" t="s">
        <v>198</v>
      </c>
      <c r="O639" s="186" t="s">
        <v>887</v>
      </c>
      <c r="P639" s="186" t="s">
        <v>348</v>
      </c>
      <c r="Q639" s="149">
        <v>80111600</v>
      </c>
      <c r="R639" s="186" t="s">
        <v>210</v>
      </c>
      <c r="S639" s="180" t="str">
        <f>MID(PAA[[#This Row],[Meta Proyecto de Inversión]],1,4)</f>
        <v>8173</v>
      </c>
      <c r="T639" s="168" t="str">
        <f>MID(PAA[[#This Row],[Meta Proyecto de Inversión]],6,2)</f>
        <v>1-</v>
      </c>
      <c r="U639" s="187" t="str">
        <f>IFERROR(VLOOKUP(N639,TD!$B$54:$F$58,2,0)," ")</f>
        <v>O230117</v>
      </c>
      <c r="V639" s="187" t="str">
        <f>IFERROR(VLOOKUP(N639,TD!$B$54:$F$58,3,0)," ")</f>
        <v>4503</v>
      </c>
      <c r="W639" s="187">
        <f>IFERROR(VLOOKUP(N639,TD!$B$54:$F$58,4,0)," ")</f>
        <v>20240255</v>
      </c>
      <c r="X639" s="186" t="s">
        <v>166</v>
      </c>
      <c r="Y639" s="172" t="str">
        <f>IFERROR(VLOOKUP(X639,TD!$J$55:$K$68,2,0)," ")</f>
        <v>Servicio de capacitaciones en gestión del riesgo de incendios  a la ciudadania.</v>
      </c>
      <c r="Z639" s="180" t="str">
        <f>CONCATENATE(X639,"-",Y639)</f>
        <v>05-Servicio de capacitaciones en gestión del riesgo de incendios  a la ciudadania.</v>
      </c>
      <c r="AA639" s="186" t="s">
        <v>223</v>
      </c>
      <c r="AB639" s="172" t="str">
        <f>IFERROR(VLOOKUP(AA639,TD!$N$55:$O$70,2,0)," ")</f>
        <v>Servicio prevención y control de incendios</v>
      </c>
      <c r="AC639" s="180" t="str">
        <f>CONCATENATE(AA639,"_",AB639)</f>
        <v>035_Servicio prevención y control de incendios</v>
      </c>
      <c r="AD639" s="180" t="str">
        <f>CONCATENATE(Z639," ",AC639)</f>
        <v>05-Servicio de capacitaciones en gestión del riesgo de incendios  a la ciudadania. 035_Servicio prevención y control de incendios</v>
      </c>
      <c r="AE639" s="187" t="str">
        <f>CONCATENATE(U639,V639,W639,X639,AA639)</f>
        <v>O23011745032024025505035</v>
      </c>
      <c r="AF639" s="172" t="str">
        <f>IFERROR(VLOOKUP(AD639,TD!$J$70:$K$93,2,0)," ")</f>
        <v>PM/0131/0105/45030350255</v>
      </c>
      <c r="AG639" s="130" t="s">
        <v>385</v>
      </c>
      <c r="AH639" s="188" t="s">
        <v>193</v>
      </c>
      <c r="AI639" s="184" t="str">
        <f>CONCATENATE(PAA[[#This Row],[Id Interno]],"-",PAA[[#This Row],[tipo de Contrato (TH talento humano - B/S bienes y/o servicios)]],"-",S639,"-",T639,"-",PAA[[#This Row],[Objeto de la contratación]])</f>
        <v>20260631-TH-8173-1--Prestar servicios de apoyo en las actividades de Programas y Campañas de Prevención para la Subdirección de Gestión del Riesgo. _SGR</v>
      </c>
    </row>
    <row r="640" spans="2:35" ht="56" x14ac:dyDescent="0.35">
      <c r="B640" s="137">
        <v>20260632</v>
      </c>
      <c r="C640" s="117" t="s">
        <v>920</v>
      </c>
      <c r="D640" s="125" t="s">
        <v>92</v>
      </c>
      <c r="E640" s="125" t="s">
        <v>402</v>
      </c>
      <c r="F640" s="125" t="s">
        <v>142</v>
      </c>
      <c r="G640" s="126" t="s">
        <v>374</v>
      </c>
      <c r="H640" s="132">
        <v>2</v>
      </c>
      <c r="I640" s="132">
        <v>0</v>
      </c>
      <c r="J640" s="127">
        <v>6664000</v>
      </c>
      <c r="K640" s="128" t="s">
        <v>398</v>
      </c>
      <c r="L640" s="176" t="s">
        <v>151</v>
      </c>
      <c r="M640" s="174" t="s">
        <v>401</v>
      </c>
      <c r="N640" s="125" t="s">
        <v>197</v>
      </c>
      <c r="O640" s="174" t="s">
        <v>886</v>
      </c>
      <c r="P640" s="174" t="s">
        <v>348</v>
      </c>
      <c r="Q640" s="129">
        <v>81112401</v>
      </c>
      <c r="R640" s="174" t="s">
        <v>204</v>
      </c>
      <c r="S640" s="174" t="str">
        <f>MID(PAA[[#This Row],[Meta Proyecto de Inversión]],1,4)</f>
        <v>8126</v>
      </c>
      <c r="T640" s="166" t="str">
        <f>MID(PAA[[#This Row],[Meta Proyecto de Inversión]],6,2)</f>
        <v>5-</v>
      </c>
      <c r="U640" s="179" t="str">
        <f>IFERROR(VLOOKUP(N640,TD!$B$54:$F$58,2,0)," ")</f>
        <v>O230117</v>
      </c>
      <c r="V640" s="179" t="str">
        <f>IFERROR(VLOOKUP(N640,TD!$B$54:$F$58,3,0)," ")</f>
        <v>4599</v>
      </c>
      <c r="W640" s="179">
        <f>IFERROR(VLOOKUP(N640,TD!$B$54:$F$58,4,0)," ")</f>
        <v>20240207</v>
      </c>
      <c r="X640" s="174" t="s">
        <v>168</v>
      </c>
      <c r="Y640" s="167" t="str">
        <f>IFERROR(VLOOKUP(X640,TD!$J$55:$K$68,2,0)," ")</f>
        <v>Infraestructura Tecnológica   (Sistemas de Información y Tecnologia)</v>
      </c>
      <c r="Z640" s="180" t="str">
        <f>CONCATENATE(X640,"-",Y640)</f>
        <v>11-Infraestructura Tecnológica   (Sistemas de Información y Tecnologia)</v>
      </c>
      <c r="AA640" s="174" t="s">
        <v>228</v>
      </c>
      <c r="AB640" s="167" t="str">
        <f>IFERROR(VLOOKUP(AA640,TD!$N$55:$O$70,2,0)," ")</f>
        <v>Servicios tecnológicos</v>
      </c>
      <c r="AC640" s="180" t="str">
        <f>CONCATENATE(AA640,"_",AB640)</f>
        <v>007_Servicios tecnológicos</v>
      </c>
      <c r="AD640" s="180" t="str">
        <f>CONCATENATE(Z640," ",AC640)</f>
        <v>11-Infraestructura Tecnológica   (Sistemas de Información y Tecnologia) 007_Servicios tecnológicos</v>
      </c>
      <c r="AE640" s="179" t="str">
        <f>CONCATENATE(U640,V640,W640,X640,AA640)</f>
        <v>O23011745992024020711007</v>
      </c>
      <c r="AF640" s="167" t="str">
        <f>IFERROR(VLOOKUP(AD640,TD!$J$70:$K$93,2,0)," ")</f>
        <v>PM/0131/0111/45990070207</v>
      </c>
      <c r="AG640" s="130" t="s">
        <v>121</v>
      </c>
      <c r="AH640" s="181" t="s">
        <v>194</v>
      </c>
      <c r="AI640" s="184" t="str">
        <f>CONCATENATE(PAA[[#This Row],[Id Interno]],"-",PAA[[#This Row],[tipo de Contrato (TH talento humano - B/S bienes y/o servicios)]],"-",S640,"-",T640,"-",PAA[[#This Row],[Objeto de la contratación]])</f>
        <v>20260632-BS-8126-5--Adición y prórroga al contrato No. 490 de 2025 cuyo objeto es: "contratar el alquiler de equipos tecnológicos, periféricos y servicios complementarios para la U.A.E Cuerpo Oficial de bomberos de Bogota- TIC"</v>
      </c>
    </row>
    <row r="641" spans="2:35" ht="56" x14ac:dyDescent="0.35">
      <c r="B641" s="137">
        <v>20260633</v>
      </c>
      <c r="C641" s="117" t="s">
        <v>919</v>
      </c>
      <c r="D641" s="125" t="s">
        <v>114</v>
      </c>
      <c r="E641" s="125" t="s">
        <v>402</v>
      </c>
      <c r="F641" s="125" t="s">
        <v>89</v>
      </c>
      <c r="G641" s="126" t="s">
        <v>374</v>
      </c>
      <c r="H641" s="132">
        <v>2</v>
      </c>
      <c r="I641" s="132">
        <v>0</v>
      </c>
      <c r="J641" s="127">
        <v>20246686</v>
      </c>
      <c r="K641" s="128" t="s">
        <v>398</v>
      </c>
      <c r="L641" s="176" t="s">
        <v>151</v>
      </c>
      <c r="M641" s="174" t="s">
        <v>401</v>
      </c>
      <c r="N641" s="125" t="s">
        <v>197</v>
      </c>
      <c r="O641" s="174" t="s">
        <v>886</v>
      </c>
      <c r="P641" s="174" t="s">
        <v>348</v>
      </c>
      <c r="Q641" s="129" t="s">
        <v>433</v>
      </c>
      <c r="R641" s="174" t="s">
        <v>203</v>
      </c>
      <c r="S641" s="174" t="str">
        <f>MID(PAA[[#This Row],[Meta Proyecto de Inversión]],1,4)</f>
        <v>8126</v>
      </c>
      <c r="T641" s="174" t="str">
        <f>MID(PAA[[#This Row],[Meta Proyecto de Inversión]],6,2)</f>
        <v>4-</v>
      </c>
      <c r="U641" s="179" t="str">
        <f>IFERROR(VLOOKUP(N641,TD!$B$54:$F$58,2,0)," ")</f>
        <v>O230117</v>
      </c>
      <c r="V641" s="179" t="str">
        <f>IFERROR(VLOOKUP(N641,TD!$B$54:$F$58,3,0)," ")</f>
        <v>4599</v>
      </c>
      <c r="W641" s="179">
        <f>IFERROR(VLOOKUP(N641,TD!$B$54:$F$58,4,0)," ")</f>
        <v>20240207</v>
      </c>
      <c r="X641" s="174" t="s">
        <v>168</v>
      </c>
      <c r="Y641" s="167" t="str">
        <f>IFERROR(VLOOKUP(X641,TD!$J$55:$K$68,2,0)," ")</f>
        <v>Infraestructura Tecnológica   (Sistemas de Información y Tecnologia)</v>
      </c>
      <c r="Z641" s="180" t="str">
        <f>CONCATENATE(X641,"-",Y641)</f>
        <v>11-Infraestructura Tecnológica   (Sistemas de Información y Tecnologia)</v>
      </c>
      <c r="AA641" s="174" t="s">
        <v>228</v>
      </c>
      <c r="AB641" s="167" t="str">
        <f>IFERROR(VLOOKUP(AA641,TD!$N$55:$O$70,2,0)," ")</f>
        <v>Servicios tecnológicos</v>
      </c>
      <c r="AC641" s="180" t="str">
        <f>CONCATENATE(AA641,"_",AB641)</f>
        <v>007_Servicios tecnológicos</v>
      </c>
      <c r="AD641" s="180" t="str">
        <f>CONCATENATE(Z641," ",AC641)</f>
        <v>11-Infraestructura Tecnológica   (Sistemas de Información y Tecnologia) 007_Servicios tecnológicos</v>
      </c>
      <c r="AE641" s="179" t="str">
        <f>CONCATENATE(U641,V641,W641,X641,AA641)</f>
        <v>O23011745992024020711007</v>
      </c>
      <c r="AF641" s="167" t="str">
        <f>IFERROR(VLOOKUP(AD641,TD!$J$70:$K$93,2,0)," ")</f>
        <v>PM/0131/0111/45990070207</v>
      </c>
      <c r="AG641" s="130" t="s">
        <v>116</v>
      </c>
      <c r="AH641" s="181" t="s">
        <v>194</v>
      </c>
      <c r="AI641" s="184" t="str">
        <f>CONCATENATE(PAA[[#This Row],[Id Interno]],"-",PAA[[#This Row],[tipo de Contrato (TH talento humano - B/S bienes y/o servicios)]],"-",S641,"-",T641,"-",PAA[[#This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42" spans="2:35" ht="56" x14ac:dyDescent="0.35">
      <c r="B642" s="137">
        <v>20260634</v>
      </c>
      <c r="C642" s="117" t="s">
        <v>923</v>
      </c>
      <c r="D642" s="125" t="s">
        <v>105</v>
      </c>
      <c r="E642" s="125" t="s">
        <v>363</v>
      </c>
      <c r="F642" s="125" t="s">
        <v>145</v>
      </c>
      <c r="G642" s="126" t="s">
        <v>373</v>
      </c>
      <c r="H642" s="132">
        <v>5</v>
      </c>
      <c r="I642" s="132">
        <v>0</v>
      </c>
      <c r="J642" s="127">
        <v>16400000</v>
      </c>
      <c r="K642" s="128" t="s">
        <v>398</v>
      </c>
      <c r="L642" s="176" t="s">
        <v>157</v>
      </c>
      <c r="M642" s="174" t="s">
        <v>483</v>
      </c>
      <c r="N642" s="125" t="s">
        <v>198</v>
      </c>
      <c r="O642" s="174" t="s">
        <v>887</v>
      </c>
      <c r="P642" s="174" t="s">
        <v>348</v>
      </c>
      <c r="Q642" s="129">
        <v>80111600</v>
      </c>
      <c r="R642" s="174" t="s">
        <v>213</v>
      </c>
      <c r="S642" s="174" t="str">
        <f>MID(PAA[[#This Row],[Meta Proyecto de Inversión]],1,4)</f>
        <v>8173</v>
      </c>
      <c r="T642" s="174" t="str">
        <f>MID(PAA[[#This Row],[Meta Proyecto de Inversión]],6,2)</f>
        <v>4-</v>
      </c>
      <c r="U642" s="179" t="str">
        <f>IFERROR(VLOOKUP(N642,TD!$B$54:$F$58,2,0)," ")</f>
        <v>O230117</v>
      </c>
      <c r="V642" s="179" t="str">
        <f>IFERROR(VLOOKUP(N642,TD!$B$54:$F$58,3,0)," ")</f>
        <v>4503</v>
      </c>
      <c r="W642" s="179">
        <f>IFERROR(VLOOKUP(N642,TD!$B$54:$F$58,4,0)," ")</f>
        <v>20240255</v>
      </c>
      <c r="X642" s="174" t="s">
        <v>176</v>
      </c>
      <c r="Y642" s="167" t="str">
        <f>IFERROR(VLOOKUP(X642,TD!$J$55:$K$68,2,0)," ")</f>
        <v>Servicio de mantenimiento, dotación (HEA´s y equipo menor) y adquisición de vehiculos   especializados para la atención de emergencias.</v>
      </c>
      <c r="Z642" s="180" t="str">
        <f>CONCATENATE(X642,"-",Y642)</f>
        <v>09-Servicio de mantenimiento, dotación (HEA´s y equipo menor) y adquisición de vehiculos   especializados para la atención de emergencias.</v>
      </c>
      <c r="AA642" s="174" t="s">
        <v>221</v>
      </c>
      <c r="AB642" s="167" t="str">
        <f>IFERROR(VLOOKUP(AA642,TD!$N$55:$O$70,2,0)," ")</f>
        <v>Servicio de atención a emergencias y desastres</v>
      </c>
      <c r="AC642" s="180" t="str">
        <f>CONCATENATE(AA642,"_",AB642)</f>
        <v>004_Servicio de atención a emergencias y desastres</v>
      </c>
      <c r="AD642" s="180" t="str">
        <f>CONCATENATE(Z642," ",AC642)</f>
        <v>09-Servicio de mantenimiento, dotación (HEA´s y equipo menor) y adquisición de vehiculos   especializados para la atención de emergencias. 004_Servicio de atención a emergencias y desastres</v>
      </c>
      <c r="AE642" s="179" t="str">
        <f>CONCATENATE(U642,V642,W642,X642,AA642)</f>
        <v>O23011745032024025509004</v>
      </c>
      <c r="AF642" s="167" t="str">
        <f>IFERROR(VLOOKUP(AD642,TD!$J$70:$K$93,2,0)," ")</f>
        <v>PM/0131/0109/45030040255</v>
      </c>
      <c r="AG642" s="130" t="s">
        <v>385</v>
      </c>
      <c r="AH642" s="181" t="s">
        <v>193</v>
      </c>
      <c r="AI642" s="184" t="str">
        <f>CONCATENATE(PAA[[#This Row],[Id Interno]],"-",PAA[[#This Row],[tipo de Contrato (TH talento humano - B/S bienes y/o servicios)]],"-",S642,"-",T642,"-",PAA[[#This Row],[Objeto de la contratación]])</f>
        <v>20260634-TH-8173-4--Prestar servicio de apoyo a la gestión administrativa y operativa de los mantenimientos requeridos a los equipos menores y/o parque automotor de la Subdirección Logística - SBLG</v>
      </c>
    </row>
    <row r="643" spans="2:35" ht="56" x14ac:dyDescent="0.35">
      <c r="B643" s="137">
        <v>20260636</v>
      </c>
      <c r="C643" s="117" t="s">
        <v>921</v>
      </c>
      <c r="D643" s="125" t="s">
        <v>105</v>
      </c>
      <c r="E643" s="125" t="s">
        <v>363</v>
      </c>
      <c r="F643" s="125" t="s">
        <v>144</v>
      </c>
      <c r="G643" s="126" t="s">
        <v>924</v>
      </c>
      <c r="H643" s="132">
        <v>0</v>
      </c>
      <c r="I643" s="132">
        <v>0</v>
      </c>
      <c r="J643" s="127">
        <v>95000000</v>
      </c>
      <c r="K643" s="128" t="s">
        <v>398</v>
      </c>
      <c r="L643" s="176" t="s">
        <v>1146</v>
      </c>
      <c r="M643" s="174" t="s">
        <v>401</v>
      </c>
      <c r="N643" s="125" t="s">
        <v>197</v>
      </c>
      <c r="O643" s="174" t="s">
        <v>886</v>
      </c>
      <c r="P643" s="174" t="s">
        <v>348</v>
      </c>
      <c r="Q643" s="129">
        <v>80111600</v>
      </c>
      <c r="R643" s="174" t="s">
        <v>204</v>
      </c>
      <c r="S643" s="174" t="str">
        <f>MID(PAA[[#This Row],[Meta Proyecto de Inversión]],1,4)</f>
        <v>8126</v>
      </c>
      <c r="T643" s="166" t="str">
        <f>MID(PAA[[#This Row],[Meta Proyecto de Inversión]],6,2)</f>
        <v>5-</v>
      </c>
      <c r="U643" s="179" t="str">
        <f>IFERROR(VLOOKUP(N643,TD!$B$54:$F$58,2,0)," ")</f>
        <v>O230117</v>
      </c>
      <c r="V643" s="179" t="str">
        <f>IFERROR(VLOOKUP(N643,TD!$B$54:$F$58,3,0)," ")</f>
        <v>4599</v>
      </c>
      <c r="W643" s="179">
        <f>IFERROR(VLOOKUP(N643,TD!$B$54:$F$58,4,0)," ")</f>
        <v>20240207</v>
      </c>
      <c r="X643" s="174" t="s">
        <v>168</v>
      </c>
      <c r="Y643" s="167" t="str">
        <f>IFERROR(VLOOKUP(X643,TD!$J$55:$K$68,2,0)," ")</f>
        <v>Infraestructura Tecnológica   (Sistemas de Información y Tecnologia)</v>
      </c>
      <c r="Z643" s="180" t="str">
        <f>CONCATENATE(X643,"-",Y643)</f>
        <v>11-Infraestructura Tecnológica   (Sistemas de Información y Tecnologia)</v>
      </c>
      <c r="AA643" s="174" t="s">
        <v>228</v>
      </c>
      <c r="AB643" s="167" t="str">
        <f>IFERROR(VLOOKUP(AA643,TD!$N$55:$O$70,2,0)," ")</f>
        <v>Servicios tecnológicos</v>
      </c>
      <c r="AC643" s="180" t="str">
        <f>CONCATENATE(AA643,"_",AB643)</f>
        <v>007_Servicios tecnológicos</v>
      </c>
      <c r="AD643" s="180" t="str">
        <f>CONCATENATE(Z643," ",AC643)</f>
        <v>11-Infraestructura Tecnológica   (Sistemas de Información y Tecnologia) 007_Servicios tecnológicos</v>
      </c>
      <c r="AE643" s="179" t="str">
        <f>CONCATENATE(U643,V643,W643,X643,AA643)</f>
        <v>O23011745992024020711007</v>
      </c>
      <c r="AF643" s="167" t="str">
        <f>IFERROR(VLOOKUP(AD643,TD!$J$70:$K$93,2,0)," ")</f>
        <v>PM/0131/0111/45990070207</v>
      </c>
      <c r="AG643" s="130" t="s">
        <v>385</v>
      </c>
      <c r="AH643" s="181" t="s">
        <v>194</v>
      </c>
      <c r="AI643" s="189" t="str">
        <f>CONCATENATE(PAA[[#This Row],[Id Interno]],"-",PAA[[#This Row],[tipo de Contrato (TH talento humano - B/S bienes y/o servicios)]],"-",S643,"-",T643,"-",PAA[[#This Row],[Objeto de la contratación]])</f>
        <v>20260636-TH-8126-5--Congelamiento recursos 5% proyecto 8126</v>
      </c>
    </row>
    <row r="644" spans="2:35" ht="56" x14ac:dyDescent="0.35">
      <c r="B644" s="23">
        <v>20260637</v>
      </c>
      <c r="C644" s="97" t="s">
        <v>921</v>
      </c>
      <c r="D644" s="23" t="s">
        <v>114</v>
      </c>
      <c r="E644" s="23" t="s">
        <v>363</v>
      </c>
      <c r="F644" s="23" t="s">
        <v>89</v>
      </c>
      <c r="G644" s="124" t="s">
        <v>924</v>
      </c>
      <c r="H644" s="131">
        <v>0</v>
      </c>
      <c r="I644" s="131">
        <v>0</v>
      </c>
      <c r="J644" s="122">
        <v>65650000</v>
      </c>
      <c r="K644" s="88" t="s">
        <v>398</v>
      </c>
      <c r="L644" s="163" t="s">
        <v>1146</v>
      </c>
      <c r="M644" s="166" t="s">
        <v>401</v>
      </c>
      <c r="N644" s="23" t="s">
        <v>197</v>
      </c>
      <c r="O644" s="166" t="s">
        <v>886</v>
      </c>
      <c r="P644" s="166" t="s">
        <v>348</v>
      </c>
      <c r="Q644" s="53" t="s">
        <v>433</v>
      </c>
      <c r="R644" s="166" t="s">
        <v>203</v>
      </c>
      <c r="S644" s="174" t="str">
        <f>MID(PAA[[#This Row],[Meta Proyecto de Inversión]],1,4)</f>
        <v>8126</v>
      </c>
      <c r="T644" s="181" t="str">
        <f>MID(PAA[[#This Row],[Meta Proyecto de Inversión]],6,2)</f>
        <v>4-</v>
      </c>
      <c r="U644" s="167" t="str">
        <f>IFERROR(VLOOKUP(N644,TD!$B$54:$F$58,2,0)," ")</f>
        <v>O230117</v>
      </c>
      <c r="V644" s="167" t="str">
        <f>IFERROR(VLOOKUP(N644,TD!$B$54:$F$58,3,0)," ")</f>
        <v>4599</v>
      </c>
      <c r="W644" s="167">
        <f>IFERROR(VLOOKUP(N644,TD!$B$54:$F$58,4,0)," ")</f>
        <v>20240207</v>
      </c>
      <c r="X644" s="166" t="s">
        <v>168</v>
      </c>
      <c r="Y644" s="167" t="str">
        <f>IFERROR(VLOOKUP(X644,TD!$J$55:$K$68,2,0)," ")</f>
        <v>Infraestructura Tecnológica   (Sistemas de Información y Tecnologia)</v>
      </c>
      <c r="Z644" s="191" t="str">
        <f>CONCATENATE(X644,"-",Y644)</f>
        <v>11-Infraestructura Tecnológica   (Sistemas de Información y Tecnologia)</v>
      </c>
      <c r="AA644" s="166" t="s">
        <v>228</v>
      </c>
      <c r="AB644" s="167" t="str">
        <f>IFERROR(VLOOKUP(AA644,TD!$N$55:$O$70,2,0)," ")</f>
        <v>Servicios tecnológicos</v>
      </c>
      <c r="AC644" s="180" t="str">
        <f>CONCATENATE(AA644,"_",AB644)</f>
        <v>007_Servicios tecnológicos</v>
      </c>
      <c r="AD644" s="191" t="str">
        <f>CONCATENATE(Z644," ",AC644)</f>
        <v>11-Infraestructura Tecnológica   (Sistemas de Información y Tecnologia) 007_Servicios tecnológicos</v>
      </c>
      <c r="AE644" s="167" t="str">
        <f>CONCATENATE(U644,V644,W644,X644,AA644)</f>
        <v>O23011745992024020711007</v>
      </c>
      <c r="AF644" s="167" t="str">
        <f>IFERROR(VLOOKUP(AD644,TD!$J$70:$K$93,2,0)," ")</f>
        <v>PM/0131/0111/45990070207</v>
      </c>
      <c r="AG644" s="114" t="s">
        <v>116</v>
      </c>
      <c r="AH644" s="166" t="s">
        <v>194</v>
      </c>
      <c r="AI644" s="229" t="str">
        <f>CONCATENATE(PAA[[#This Row],[Id Interno]],"-",PAA[[#This Row],[tipo de Contrato (TH talento humano - B/S bienes y/o servicios)]],"-",S644,"-",T644,"-",PAA[[#This Row],[Objeto de la contratación]])</f>
        <v>20260637-TH-8126-4--Congelamiento recursos 5% proyecto 8126</v>
      </c>
    </row>
    <row r="645" spans="2:35" s="56" customFormat="1" ht="42" x14ac:dyDescent="0.35">
      <c r="B645" s="146">
        <v>20260638</v>
      </c>
      <c r="C645" s="117" t="s">
        <v>921</v>
      </c>
      <c r="D645" s="117" t="s">
        <v>105</v>
      </c>
      <c r="E645" s="117" t="s">
        <v>363</v>
      </c>
      <c r="F645" s="117" t="s">
        <v>144</v>
      </c>
      <c r="G645" s="126" t="s">
        <v>924</v>
      </c>
      <c r="H645" s="147">
        <v>0</v>
      </c>
      <c r="I645" s="147">
        <v>0</v>
      </c>
      <c r="J645" s="130">
        <f>239005620+10104885+695661+1836159</f>
        <v>251642325</v>
      </c>
      <c r="K645" s="148" t="s">
        <v>398</v>
      </c>
      <c r="L645" s="177" t="s">
        <v>1151</v>
      </c>
      <c r="M645" s="186" t="s">
        <v>422</v>
      </c>
      <c r="N645" s="117" t="s">
        <v>197</v>
      </c>
      <c r="O645" s="186" t="s">
        <v>886</v>
      </c>
      <c r="P645" s="186" t="s">
        <v>348</v>
      </c>
      <c r="Q645" s="149" t="s">
        <v>725</v>
      </c>
      <c r="R645" s="186" t="s">
        <v>208</v>
      </c>
      <c r="S645" s="174" t="str">
        <f>MID(PAA[[#This Row],[Meta Proyecto de Inversión]],1,4)</f>
        <v>8126</v>
      </c>
      <c r="T645" s="174" t="str">
        <f>MID(PAA[[#This Row],[Meta Proyecto de Inversión]],6,2)</f>
        <v>9-</v>
      </c>
      <c r="U645" s="187" t="str">
        <f>IFERROR(VLOOKUP(N645,TD!$B$54:$F$58,2,0)," ")</f>
        <v>O230117</v>
      </c>
      <c r="V645" s="187" t="str">
        <f>IFERROR(VLOOKUP(N645,TD!$B$54:$F$58,3,0)," ")</f>
        <v>4599</v>
      </c>
      <c r="W645" s="187">
        <f>IFERROR(VLOOKUP(N645,TD!$B$54:$F$58,4,0)," ")</f>
        <v>20240207</v>
      </c>
      <c r="X645" s="186" t="s">
        <v>174</v>
      </c>
      <c r="Y645" s="172" t="str">
        <f>IFERROR(VLOOKUP(X645,TD!$J$55:$K$68,2,0)," ")</f>
        <v>Infraestructura física, mantenimiento y dotación (Sedes construidas, mantenidas reforzadas)</v>
      </c>
      <c r="Z645" s="180" t="str">
        <f>CONCATENATE(X645,"-",Y645)</f>
        <v>08-Infraestructura física, mantenimiento y dotación (Sedes construidas, mantenidas reforzadas)</v>
      </c>
      <c r="AA645" s="186" t="s">
        <v>227</v>
      </c>
      <c r="AB645" s="172" t="str">
        <f>IFERROR(VLOOKUP(AA645,TD!$N$55:$O$70,2,0)," ")</f>
        <v>Sedes mantenidas</v>
      </c>
      <c r="AC645" s="180" t="str">
        <f>CONCATENATE(AA645,"_",AB645)</f>
        <v>016_Sedes mantenidas</v>
      </c>
      <c r="AD645" s="180" t="str">
        <f>CONCATENATE(Z645," ",AC645)</f>
        <v>08-Infraestructura física, mantenimiento y dotación (Sedes construidas, mantenidas reforzadas) 016_Sedes mantenidas</v>
      </c>
      <c r="AE645" s="187" t="str">
        <f>CONCATENATE(U645,V645,W645,X645,AA645)</f>
        <v>O23011745992024020708016</v>
      </c>
      <c r="AF645" s="172" t="str">
        <f>IFERROR(VLOOKUP(AD645,TD!$J$70:$K$93,2,0)," ")</f>
        <v>PM/0131/0108/45990160207</v>
      </c>
      <c r="AG645" s="130" t="s">
        <v>385</v>
      </c>
      <c r="AH645" s="188" t="s">
        <v>194</v>
      </c>
      <c r="AI645" s="189" t="str">
        <f>CONCATENATE(PAA[[#This Row],[Id Interno]],"-",PAA[[#This Row],[tipo de Contrato (TH talento humano - B/S bienes y/o servicios)]],"-",S645,"-",T645,"-",PAA[[#This Row],[Objeto de la contratación]])</f>
        <v>20260638-TH-8126-9--Congelamiento recursos 5% proyecto 8126</v>
      </c>
    </row>
    <row r="646" spans="2:35" ht="42" x14ac:dyDescent="0.35">
      <c r="B646" s="137">
        <v>20260639</v>
      </c>
      <c r="C646" s="117" t="s">
        <v>922</v>
      </c>
      <c r="D646" s="125" t="s">
        <v>78</v>
      </c>
      <c r="E646" s="125" t="s">
        <v>363</v>
      </c>
      <c r="F646" s="125" t="s">
        <v>97</v>
      </c>
      <c r="G646" s="126" t="s">
        <v>924</v>
      </c>
      <c r="H646" s="132">
        <v>0</v>
      </c>
      <c r="I646" s="132">
        <v>0</v>
      </c>
      <c r="J646" s="127">
        <v>3760200</v>
      </c>
      <c r="K646" s="128" t="s">
        <v>398</v>
      </c>
      <c r="L646" s="176" t="s">
        <v>1151</v>
      </c>
      <c r="M646" s="174" t="s">
        <v>422</v>
      </c>
      <c r="N646" s="125" t="s">
        <v>198</v>
      </c>
      <c r="O646" s="174" t="s">
        <v>887</v>
      </c>
      <c r="P646" s="174" t="s">
        <v>348</v>
      </c>
      <c r="Q646" s="129" t="s">
        <v>723</v>
      </c>
      <c r="R646" s="174" t="s">
        <v>216</v>
      </c>
      <c r="S646" s="174" t="str">
        <f>MID(PAA[[#This Row],[Meta Proyecto de Inversión]],1,4)</f>
        <v>8173</v>
      </c>
      <c r="T646" s="174" t="str">
        <f>MID(PAA[[#This Row],[Meta Proyecto de Inversión]],6,2)</f>
        <v>7-</v>
      </c>
      <c r="U646" s="179" t="str">
        <f>IFERROR(VLOOKUP(N646,TD!$B$54:$F$58,2,0)," ")</f>
        <v>O230117</v>
      </c>
      <c r="V646" s="179" t="str">
        <f>IFERROR(VLOOKUP(N646,TD!$B$54:$F$58,3,0)," ")</f>
        <v>4503</v>
      </c>
      <c r="W646" s="179">
        <f>IFERROR(VLOOKUP(N646,TD!$B$54:$F$58,4,0)," ")</f>
        <v>20240255</v>
      </c>
      <c r="X646" s="174" t="s">
        <v>174</v>
      </c>
      <c r="Y646" s="167" t="str">
        <f>IFERROR(VLOOKUP(X646,TD!$J$55:$K$68,2,0)," ")</f>
        <v>Infraestructura física, mantenimiento y dotación (Sedes construidas, mantenidas reforzadas)</v>
      </c>
      <c r="Z646" s="180" t="str">
        <f>CONCATENATE(X646,"-",Y646)</f>
        <v>08-Infraestructura física, mantenimiento y dotación (Sedes construidas, mantenidas reforzadas)</v>
      </c>
      <c r="AA646" s="174" t="s">
        <v>282</v>
      </c>
      <c r="AB646" s="167" t="str">
        <f>IFERROR(VLOOKUP(AA646,TD!$N$55:$O$70,2,0)," ")</f>
        <v>Documentos de lineamientos técnicos</v>
      </c>
      <c r="AC646" s="180" t="str">
        <f>CONCATENATE(AA646,"_",AB646)</f>
        <v>031__Documentos de lineamientos técnicos</v>
      </c>
      <c r="AD646" s="180" t="str">
        <f>CONCATENATE(Z646," ",AC646)</f>
        <v>08-Infraestructura física, mantenimiento y dotación (Sedes construidas, mantenidas reforzadas) 031__Documentos de lineamientos técnicos</v>
      </c>
      <c r="AE646" s="179" t="str">
        <f>CONCATENATE(U646,V646,W646,X646,AA646)</f>
        <v>O23011745032024025508031_</v>
      </c>
      <c r="AF646" s="167" t="str">
        <f>IFERROR(VLOOKUP(AD646,TD!$J$70:$K$93,2,0)," ")</f>
        <v>PM/0131/0108/45030310255</v>
      </c>
      <c r="AG646" s="130" t="s">
        <v>385</v>
      </c>
      <c r="AH646" s="181" t="s">
        <v>194</v>
      </c>
      <c r="AI646" s="189" t="str">
        <f>CONCATENATE(PAA[[#This Row],[Id Interno]],"-",PAA[[#This Row],[tipo de Contrato (TH talento humano - B/S bienes y/o servicios)]],"-",S646,"-",T646,"-",PAA[[#This Row],[Objeto de la contratación]])</f>
        <v>20260639-TH-8173-7--Congelamiento recursos 5% proyecto 8173</v>
      </c>
    </row>
    <row r="647" spans="2:35" ht="42" x14ac:dyDescent="0.35">
      <c r="B647" s="137">
        <v>20260640</v>
      </c>
      <c r="C647" s="117" t="s">
        <v>921</v>
      </c>
      <c r="D647" s="125" t="s">
        <v>105</v>
      </c>
      <c r="E647" s="125" t="s">
        <v>363</v>
      </c>
      <c r="F647" s="125" t="s">
        <v>144</v>
      </c>
      <c r="G647" s="126" t="s">
        <v>924</v>
      </c>
      <c r="H647" s="132">
        <v>0</v>
      </c>
      <c r="I647" s="132">
        <v>0</v>
      </c>
      <c r="J647" s="127">
        <v>20296300</v>
      </c>
      <c r="K647" s="128" t="s">
        <v>398</v>
      </c>
      <c r="L647" s="176" t="s">
        <v>1147</v>
      </c>
      <c r="M647" s="174" t="s">
        <v>468</v>
      </c>
      <c r="N647" s="125" t="s">
        <v>197</v>
      </c>
      <c r="O647" s="174" t="s">
        <v>886</v>
      </c>
      <c r="P647" s="174" t="s">
        <v>348</v>
      </c>
      <c r="Q647" s="129">
        <v>80111600</v>
      </c>
      <c r="R647" s="174" t="s">
        <v>201</v>
      </c>
      <c r="S647" s="174" t="str">
        <f>MID(PAA[[#This Row],[Meta Proyecto de Inversión]],1,4)</f>
        <v>8126</v>
      </c>
      <c r="T647" s="174" t="str">
        <f>MID(PAA[[#This Row],[Meta Proyecto de Inversión]],6,2)</f>
        <v>2-</v>
      </c>
      <c r="U647" s="179" t="str">
        <f>IFERROR(VLOOKUP(N647,TD!$B$54:$F$58,2,0)," ")</f>
        <v>O230117</v>
      </c>
      <c r="V647" s="179" t="str">
        <f>IFERROR(VLOOKUP(N647,TD!$B$54:$F$58,3,0)," ")</f>
        <v>4599</v>
      </c>
      <c r="W647" s="179">
        <f>IFERROR(VLOOKUP(N647,TD!$B$54:$F$58,4,0)," ")</f>
        <v>20240207</v>
      </c>
      <c r="X647" s="174" t="s">
        <v>182</v>
      </c>
      <c r="Y647" s="167" t="str">
        <f>IFERROR(VLOOKUP(X647,TD!$J$55:$K$68,2,0)," ")</f>
        <v>Servicios para la planeación y sistemas de gestión y comunicación estratégica</v>
      </c>
      <c r="Z647" s="180" t="str">
        <f>CONCATENATE(X647,"-",Y647)</f>
        <v>13-Servicios para la planeación y sistemas de gestión y comunicación estratégica</v>
      </c>
      <c r="AA647" s="174" t="s">
        <v>230</v>
      </c>
      <c r="AB647" s="167" t="str">
        <f>IFERROR(VLOOKUP(AA647,TD!$N$55:$O$70,2,0)," ")</f>
        <v>Servicio de Implementación Sistemas de Gestión</v>
      </c>
      <c r="AC647" s="180" t="str">
        <f>CONCATENATE(AA647,"_",AB647)</f>
        <v>023_Servicio de Implementación Sistemas de Gestión</v>
      </c>
      <c r="AD647" s="180" t="str">
        <f>CONCATENATE(Z647," ",AC647)</f>
        <v>13-Servicios para la planeación y sistemas de gestión y comunicación estratégica 023_Servicio de Implementación Sistemas de Gestión</v>
      </c>
      <c r="AE647" s="179" t="str">
        <f>CONCATENATE(U647,V647,W647,X647,AA647)</f>
        <v>O23011745992024020713023</v>
      </c>
      <c r="AF647" s="167" t="str">
        <f>IFERROR(VLOOKUP(AD647,TD!$J$70:$K$93,2,0)," ")</f>
        <v>PM/0131/0113/45990230207</v>
      </c>
      <c r="AG647" s="130" t="s">
        <v>385</v>
      </c>
      <c r="AH647" s="181" t="s">
        <v>194</v>
      </c>
      <c r="AI647" s="184" t="str">
        <f>CONCATENATE(PAA[[#This Row],[Id Interno]],"-",PAA[[#This Row],[tipo de Contrato (TH talento humano - B/S bienes y/o servicios)]],"-",S647,"-",T647,"-",PAA[[#This Row],[Objeto de la contratación]])</f>
        <v>20260640-TH-8126-2--Congelamiento recursos 5% proyecto 8126</v>
      </c>
    </row>
    <row r="648" spans="2:35" ht="126" x14ac:dyDescent="0.35">
      <c r="B648" s="137">
        <v>20260641</v>
      </c>
      <c r="C648" s="117" t="s">
        <v>921</v>
      </c>
      <c r="D648" s="125" t="s">
        <v>105</v>
      </c>
      <c r="E648" s="125" t="s">
        <v>363</v>
      </c>
      <c r="F648" s="125" t="s">
        <v>144</v>
      </c>
      <c r="G648" s="126" t="s">
        <v>924</v>
      </c>
      <c r="H648" s="132">
        <v>0</v>
      </c>
      <c r="I648" s="132">
        <v>0</v>
      </c>
      <c r="J648" s="127">
        <v>55442250</v>
      </c>
      <c r="K648" s="128" t="s">
        <v>398</v>
      </c>
      <c r="L648" s="176" t="s">
        <v>1147</v>
      </c>
      <c r="M648" s="174" t="s">
        <v>468</v>
      </c>
      <c r="N648" s="125" t="s">
        <v>197</v>
      </c>
      <c r="O648" s="174" t="s">
        <v>886</v>
      </c>
      <c r="P648" s="174" t="s">
        <v>348</v>
      </c>
      <c r="Q648" s="129">
        <v>80111600</v>
      </c>
      <c r="R648" s="174" t="s">
        <v>200</v>
      </c>
      <c r="S648" s="174" t="str">
        <f>MID(PAA[[#This Row],[Meta Proyecto de Inversión]],1,4)</f>
        <v>8126</v>
      </c>
      <c r="T648" s="174" t="str">
        <f>MID(PAA[[#This Row],[Meta Proyecto de Inversión]],6,2)</f>
        <v>1-</v>
      </c>
      <c r="U648" s="179" t="str">
        <f>IFERROR(VLOOKUP(N648,TD!$B$54:$F$58,2,0)," ")</f>
        <v>O230117</v>
      </c>
      <c r="V648" s="179" t="str">
        <f>IFERROR(VLOOKUP(N648,TD!$B$54:$F$58,3,0)," ")</f>
        <v>4599</v>
      </c>
      <c r="W648" s="179">
        <f>IFERROR(VLOOKUP(N648,TD!$B$54:$F$58,4,0)," ")</f>
        <v>20240207</v>
      </c>
      <c r="X648" s="166" t="s">
        <v>182</v>
      </c>
      <c r="Y648" s="167" t="str">
        <f>IFERROR(VLOOKUP(X648,TD!$J$55:$K$68,2,0)," ")</f>
        <v>Servicios para la planeación y sistemas de gestión y comunicación estratégica</v>
      </c>
      <c r="Z648" s="180" t="str">
        <f>CONCATENATE(X648,"-",Y648)</f>
        <v>13-Servicios para la planeación y sistemas de gestión y comunicación estratégica</v>
      </c>
      <c r="AA648" s="166" t="s">
        <v>229</v>
      </c>
      <c r="AB648" s="167" t="str">
        <f>IFERROR(VLOOKUP(AA648,TD!$N$55:$O$70,2,0)," ")</f>
        <v>Servicio de asistencia técnica</v>
      </c>
      <c r="AC648" s="180" t="str">
        <f>CONCATENATE(AA648,"_",AB648)</f>
        <v>031_Servicio de asistencia técnica</v>
      </c>
      <c r="AD648" s="180" t="str">
        <f>CONCATENATE(Z648," ",AC648)</f>
        <v>13-Servicios para la planeación y sistemas de gestión y comunicación estratégica 031_Servicio de asistencia técnica</v>
      </c>
      <c r="AE648" s="179" t="str">
        <f>CONCATENATE(U648,V648,W648,X648,AA648)</f>
        <v>O23011745992024020713031</v>
      </c>
      <c r="AF648" s="167" t="str">
        <f>IFERROR(VLOOKUP(AD648,TD!$J$70:$K$93,2,0)," ")</f>
        <v>PM/0131/0113/45990310207</v>
      </c>
      <c r="AG648" s="114" t="s">
        <v>385</v>
      </c>
      <c r="AH648" s="166" t="s">
        <v>194</v>
      </c>
      <c r="AI648" s="184" t="str">
        <f>CONCATENATE(PAA[[#This Row],[Id Interno]],"-",PAA[[#This Row],[tipo de Contrato (TH talento humano - B/S bienes y/o servicios)]],"-",S648,"-",T648,"-",PAA[[#This Row],[Objeto de la contratación]])</f>
        <v>20260641-TH-8126-1--Congelamiento recursos 5% proyecto 8126</v>
      </c>
    </row>
    <row r="649" spans="2:35" ht="56" x14ac:dyDescent="0.35">
      <c r="B649" s="137">
        <v>20260642</v>
      </c>
      <c r="C649" s="117" t="s">
        <v>921</v>
      </c>
      <c r="D649" s="125" t="s">
        <v>83</v>
      </c>
      <c r="E649" s="125" t="s">
        <v>363</v>
      </c>
      <c r="F649" s="125" t="s">
        <v>89</v>
      </c>
      <c r="G649" s="126" t="s">
        <v>924</v>
      </c>
      <c r="H649" s="132">
        <v>0</v>
      </c>
      <c r="I649" s="132">
        <v>0</v>
      </c>
      <c r="J649" s="127">
        <v>114350000</v>
      </c>
      <c r="K649" s="128" t="s">
        <v>398</v>
      </c>
      <c r="L649" s="176" t="s">
        <v>1146</v>
      </c>
      <c r="M649" s="174" t="s">
        <v>401</v>
      </c>
      <c r="N649" s="125" t="s">
        <v>197</v>
      </c>
      <c r="O649" s="174" t="s">
        <v>886</v>
      </c>
      <c r="P649" s="174" t="s">
        <v>348</v>
      </c>
      <c r="Q649" s="129" t="s">
        <v>434</v>
      </c>
      <c r="R649" s="174" t="s">
        <v>204</v>
      </c>
      <c r="S649" s="174" t="str">
        <f>MID(PAA[[#This Row],[Meta Proyecto de Inversión]],1,4)</f>
        <v>8126</v>
      </c>
      <c r="T649" s="174" t="str">
        <f>MID(PAA[[#This Row],[Meta Proyecto de Inversión]],6,2)</f>
        <v>5-</v>
      </c>
      <c r="U649" s="179" t="str">
        <f>IFERROR(VLOOKUP(N649,TD!$B$54:$F$58,2,0)," ")</f>
        <v>O230117</v>
      </c>
      <c r="V649" s="179" t="str">
        <f>IFERROR(VLOOKUP(N649,TD!$B$54:$F$58,3,0)," ")</f>
        <v>4599</v>
      </c>
      <c r="W649" s="179">
        <f>IFERROR(VLOOKUP(N649,TD!$B$54:$F$58,4,0)," ")</f>
        <v>20240207</v>
      </c>
      <c r="X649" s="174" t="s">
        <v>168</v>
      </c>
      <c r="Y649" s="167" t="str">
        <f>IFERROR(VLOOKUP(X649,TD!$J$55:$K$68,2,0)," ")</f>
        <v>Infraestructura Tecnológica   (Sistemas de Información y Tecnologia)</v>
      </c>
      <c r="Z649" s="180" t="str">
        <f>CONCATENATE(X649,"-",Y649)</f>
        <v>11-Infraestructura Tecnológica   (Sistemas de Información y Tecnologia)</v>
      </c>
      <c r="AA649" s="174" t="s">
        <v>228</v>
      </c>
      <c r="AB649" s="167" t="str">
        <f>IFERROR(VLOOKUP(AA649,TD!$N$55:$O$70,2,0)," ")</f>
        <v>Servicios tecnológicos</v>
      </c>
      <c r="AC649" s="180" t="str">
        <f>CONCATENATE(AA649,"_",AB649)</f>
        <v>007_Servicios tecnológicos</v>
      </c>
      <c r="AD649" s="180" t="str">
        <f>CONCATENATE(Z649," ",AC649)</f>
        <v>11-Infraestructura Tecnológica   (Sistemas de Información y Tecnologia) 007_Servicios tecnológicos</v>
      </c>
      <c r="AE649" s="179" t="str">
        <f>CONCATENATE(U649,V649,W649,X649,AA649)</f>
        <v>O23011745992024020711007</v>
      </c>
      <c r="AF649" s="167" t="str">
        <f>IFERROR(VLOOKUP(AD649,TD!$J$70:$K$93,2,0)," ")</f>
        <v>PM/0131/0111/45990070207</v>
      </c>
      <c r="AG649" s="130" t="s">
        <v>121</v>
      </c>
      <c r="AH649" s="181" t="s">
        <v>194</v>
      </c>
      <c r="AI649" s="189" t="str">
        <f>CONCATENATE(PAA[[#This Row],[Id Interno]],"-",PAA[[#This Row],[tipo de Contrato (TH talento humano - B/S bienes y/o servicios)]],"-",S649,"-",T649,"-",PAA[[#This Row],[Objeto de la contratación]])</f>
        <v>20260642-TH-8126-5--Congelamiento recursos 5% proyecto 8126</v>
      </c>
    </row>
    <row r="650" spans="2:35" ht="70" x14ac:dyDescent="0.35">
      <c r="B650" s="137">
        <v>20260643</v>
      </c>
      <c r="C650" s="117" t="s">
        <v>921</v>
      </c>
      <c r="D650" s="125" t="s">
        <v>105</v>
      </c>
      <c r="E650" s="125" t="s">
        <v>363</v>
      </c>
      <c r="F650" s="125" t="s">
        <v>144</v>
      </c>
      <c r="G650" s="126" t="s">
        <v>924</v>
      </c>
      <c r="H650" s="132">
        <v>0</v>
      </c>
      <c r="I650" s="132">
        <v>0</v>
      </c>
      <c r="J650" s="127">
        <f>49201183+1976317</f>
        <v>51177500</v>
      </c>
      <c r="K650" s="128" t="s">
        <v>398</v>
      </c>
      <c r="L650" s="176" t="s">
        <v>1145</v>
      </c>
      <c r="M650" s="174" t="s">
        <v>401</v>
      </c>
      <c r="N650" s="125" t="s">
        <v>197</v>
      </c>
      <c r="O650" s="174" t="s">
        <v>886</v>
      </c>
      <c r="P650" s="174" t="s">
        <v>348</v>
      </c>
      <c r="Q650" s="129">
        <v>80111600</v>
      </c>
      <c r="R650" s="174" t="s">
        <v>209</v>
      </c>
      <c r="S650" s="174" t="str">
        <f>MID(PAA[[#This Row],[Meta Proyecto de Inversión]],1,4)</f>
        <v>8126</v>
      </c>
      <c r="T650" s="174" t="str">
        <f>MID(PAA[[#This Row],[Meta Proyecto de Inversión]],6,2)</f>
        <v>10</v>
      </c>
      <c r="U650" s="179" t="str">
        <f>IFERROR(VLOOKUP(N650,TD!$B$54:$F$58,2,0)," ")</f>
        <v>O230117</v>
      </c>
      <c r="V650" s="179" t="str">
        <f>IFERROR(VLOOKUP(N650,TD!$B$54:$F$58,3,0)," ")</f>
        <v>4599</v>
      </c>
      <c r="W650" s="179">
        <f>IFERROR(VLOOKUP(N650,TD!$B$54:$F$58,4,0)," ")</f>
        <v>20240207</v>
      </c>
      <c r="X650" s="174" t="s">
        <v>182</v>
      </c>
      <c r="Y650" s="167" t="str">
        <f>IFERROR(VLOOKUP(X650,TD!$J$55:$K$68,2,0)," ")</f>
        <v>Servicios para la planeación y sistemas de gestión y comunicación estratégica</v>
      </c>
      <c r="Z650" s="180" t="str">
        <f>CONCATENATE(X650,"-",Y650)</f>
        <v>13-Servicios para la planeación y sistemas de gestión y comunicación estratégica</v>
      </c>
      <c r="AA650" s="174" t="s">
        <v>231</v>
      </c>
      <c r="AB650" s="167" t="str">
        <f>IFERROR(VLOOKUP(AA650,TD!$N$55:$O$70,2,0)," ")</f>
        <v>Documentos de planeación</v>
      </c>
      <c r="AC650" s="180" t="str">
        <f>CONCATENATE(AA650,"_",AB650)</f>
        <v>019_Documentos de planeación</v>
      </c>
      <c r="AD650" s="180" t="str">
        <f>CONCATENATE(Z650," ",AC650)</f>
        <v>13-Servicios para la planeación y sistemas de gestión y comunicación estratégica 019_Documentos de planeación</v>
      </c>
      <c r="AE650" s="179" t="str">
        <f>CONCATENATE(U650,V650,W650,X650,AA650)</f>
        <v>O23011745992024020713019</v>
      </c>
      <c r="AF650" s="167" t="str">
        <f>IFERROR(VLOOKUP(AD650,TD!$J$70:$K$93,2,0)," ")</f>
        <v>PM/0131/0113/45990190207</v>
      </c>
      <c r="AG650" s="130" t="s">
        <v>385</v>
      </c>
      <c r="AH650" s="181" t="s">
        <v>194</v>
      </c>
      <c r="AI650" s="189" t="str">
        <f>CONCATENATE(PAA[[#This Row],[Id Interno]],"-",PAA[[#This Row],[tipo de Contrato (TH talento humano - B/S bienes y/o servicios)]],"-",S650,"-",T650,"-",PAA[[#This Row],[Objeto de la contratación]])</f>
        <v>20260643-TH-8126-10-Congelamiento recursos 5% proyecto 8126</v>
      </c>
    </row>
    <row r="651" spans="2:35" ht="70" x14ac:dyDescent="0.35">
      <c r="B651" s="137">
        <v>20260644</v>
      </c>
      <c r="C651" s="117" t="s">
        <v>921</v>
      </c>
      <c r="D651" s="125" t="s">
        <v>105</v>
      </c>
      <c r="E651" s="125" t="s">
        <v>363</v>
      </c>
      <c r="F651" s="125" t="s">
        <v>144</v>
      </c>
      <c r="G651" s="126" t="s">
        <v>924</v>
      </c>
      <c r="H651" s="132">
        <v>0</v>
      </c>
      <c r="I651" s="132">
        <v>0</v>
      </c>
      <c r="J651" s="127">
        <v>150000000</v>
      </c>
      <c r="K651" s="128" t="s">
        <v>398</v>
      </c>
      <c r="L651" s="176" t="s">
        <v>1144</v>
      </c>
      <c r="M651" s="174" t="s">
        <v>401</v>
      </c>
      <c r="N651" s="125" t="s">
        <v>197</v>
      </c>
      <c r="O651" s="174" t="s">
        <v>886</v>
      </c>
      <c r="P651" s="174" t="s">
        <v>348</v>
      </c>
      <c r="Q651" s="129" t="s">
        <v>725</v>
      </c>
      <c r="R651" s="174" t="s">
        <v>208</v>
      </c>
      <c r="S651" s="174" t="str">
        <f>MID(PAA[[#This Row],[Meta Proyecto de Inversión]],1,4)</f>
        <v>8126</v>
      </c>
      <c r="T651" s="174" t="str">
        <f>MID(PAA[[#This Row],[Meta Proyecto de Inversión]],6,2)</f>
        <v>9-</v>
      </c>
      <c r="U651" s="179" t="str">
        <f>IFERROR(VLOOKUP(N651,TD!$B$54:$F$58,2,0)," ")</f>
        <v>O230117</v>
      </c>
      <c r="V651" s="179" t="str">
        <f>IFERROR(VLOOKUP(N651,TD!$B$54:$F$58,3,0)," ")</f>
        <v>4599</v>
      </c>
      <c r="W651" s="179">
        <f>IFERROR(VLOOKUP(N651,TD!$B$54:$F$58,4,0)," ")</f>
        <v>20240207</v>
      </c>
      <c r="X651" s="174" t="s">
        <v>174</v>
      </c>
      <c r="Y651" s="167" t="str">
        <f>IFERROR(VLOOKUP(X651,TD!$J$55:$K$68,2,0)," ")</f>
        <v>Infraestructura física, mantenimiento y dotación (Sedes construidas, mantenidas reforzadas)</v>
      </c>
      <c r="Z651" s="180" t="str">
        <f>CONCATENATE(X651,"-",Y651)</f>
        <v>08-Infraestructura física, mantenimiento y dotación (Sedes construidas, mantenidas reforzadas)</v>
      </c>
      <c r="AA651" s="174" t="s">
        <v>227</v>
      </c>
      <c r="AB651" s="167" t="str">
        <f>IFERROR(VLOOKUP(AA651,TD!$N$55:$O$70,2,0)," ")</f>
        <v>Sedes mantenidas</v>
      </c>
      <c r="AC651" s="180" t="str">
        <f>CONCATENATE(AA651,"_",AB651)</f>
        <v>016_Sedes mantenidas</v>
      </c>
      <c r="AD651" s="180" t="str">
        <f>CONCATENATE(Z651," ",AC651)</f>
        <v>08-Infraestructura física, mantenimiento y dotación (Sedes construidas, mantenidas reforzadas) 016_Sedes mantenidas</v>
      </c>
      <c r="AE651" s="179" t="str">
        <f>CONCATENATE(U651,V651,W651,X651,AA651)</f>
        <v>O23011745992024020708016</v>
      </c>
      <c r="AF651" s="167" t="str">
        <f>IFERROR(VLOOKUP(AD651,TD!$J$70:$K$93,2,0)," ")</f>
        <v>PM/0131/0108/45990160207</v>
      </c>
      <c r="AG651" s="130" t="s">
        <v>385</v>
      </c>
      <c r="AH651" s="181" t="s">
        <v>194</v>
      </c>
      <c r="AI651" s="189" t="str">
        <f>CONCATENATE(PAA[[#This Row],[Id Interno]],"-",PAA[[#This Row],[tipo de Contrato (TH talento humano - B/S bienes y/o servicios)]],"-",S651,"-",T651,"-",PAA[[#This Row],[Objeto de la contratación]])</f>
        <v>20260644-TH-8126-9--Congelamiento recursos 5% proyecto 8126</v>
      </c>
    </row>
    <row r="652" spans="2:35" ht="42" x14ac:dyDescent="0.35">
      <c r="B652" s="137">
        <v>20260645</v>
      </c>
      <c r="C652" s="117" t="s">
        <v>921</v>
      </c>
      <c r="D652" s="125" t="s">
        <v>105</v>
      </c>
      <c r="E652" s="125" t="s">
        <v>363</v>
      </c>
      <c r="F652" s="125" t="s">
        <v>144</v>
      </c>
      <c r="G652" s="126" t="s">
        <v>924</v>
      </c>
      <c r="H652" s="132">
        <v>0</v>
      </c>
      <c r="I652" s="132">
        <v>0</v>
      </c>
      <c r="J652" s="127">
        <v>41615310</v>
      </c>
      <c r="K652" s="128" t="s">
        <v>398</v>
      </c>
      <c r="L652" s="176" t="s">
        <v>1148</v>
      </c>
      <c r="M652" s="174" t="s">
        <v>1228</v>
      </c>
      <c r="N652" s="125" t="s">
        <v>197</v>
      </c>
      <c r="O652" s="174" t="s">
        <v>886</v>
      </c>
      <c r="P652" s="174" t="s">
        <v>348</v>
      </c>
      <c r="Q652" s="129" t="s">
        <v>725</v>
      </c>
      <c r="R652" s="174" t="s">
        <v>208</v>
      </c>
      <c r="S652" s="174" t="str">
        <f>MID(PAA[[#This Row],[Meta Proyecto de Inversión]],1,4)</f>
        <v>8126</v>
      </c>
      <c r="T652" s="174" t="str">
        <f>MID(PAA[[#This Row],[Meta Proyecto de Inversión]],6,2)</f>
        <v>9-</v>
      </c>
      <c r="U652" s="179" t="str">
        <f>IFERROR(VLOOKUP(N652,TD!$B$54:$F$58,2,0)," ")</f>
        <v>O230117</v>
      </c>
      <c r="V652" s="179" t="str">
        <f>IFERROR(VLOOKUP(N652,TD!$B$54:$F$58,3,0)," ")</f>
        <v>4599</v>
      </c>
      <c r="W652" s="179">
        <f>IFERROR(VLOOKUP(N652,TD!$B$54:$F$58,4,0)," ")</f>
        <v>20240207</v>
      </c>
      <c r="X652" s="174" t="s">
        <v>174</v>
      </c>
      <c r="Y652" s="167" t="str">
        <f>IFERROR(VLOOKUP(X652,TD!$J$55:$K$68,2,0)," ")</f>
        <v>Infraestructura física, mantenimiento y dotación (Sedes construidas, mantenidas reforzadas)</v>
      </c>
      <c r="Z652" s="180" t="str">
        <f>CONCATENATE(X652,"-",Y652)</f>
        <v>08-Infraestructura física, mantenimiento y dotación (Sedes construidas, mantenidas reforzadas)</v>
      </c>
      <c r="AA652" s="174" t="s">
        <v>227</v>
      </c>
      <c r="AB652" s="167" t="str">
        <f>IFERROR(VLOOKUP(AA652,TD!$N$55:$O$70,2,0)," ")</f>
        <v>Sedes mantenidas</v>
      </c>
      <c r="AC652" s="180" t="str">
        <f>CONCATENATE(AA652,"_",AB652)</f>
        <v>016_Sedes mantenidas</v>
      </c>
      <c r="AD652" s="180" t="str">
        <f>CONCATENATE(Z652," ",AC652)</f>
        <v>08-Infraestructura física, mantenimiento y dotación (Sedes construidas, mantenidas reforzadas) 016_Sedes mantenidas</v>
      </c>
      <c r="AE652" s="179" t="str">
        <f>CONCATENATE(U652,V652,W652,X652,AA652)</f>
        <v>O23011745992024020708016</v>
      </c>
      <c r="AF652" s="167" t="str">
        <f>IFERROR(VLOOKUP(AD652,TD!$J$70:$K$93,2,0)," ")</f>
        <v>PM/0131/0108/45990160207</v>
      </c>
      <c r="AG652" s="130" t="s">
        <v>385</v>
      </c>
      <c r="AH652" s="181" t="s">
        <v>194</v>
      </c>
      <c r="AI652" s="189" t="str">
        <f>CONCATENATE(PAA[[#This Row],[Id Interno]],"-",PAA[[#This Row],[tipo de Contrato (TH talento humano - B/S bienes y/o servicios)]],"-",S652,"-",T652,"-",PAA[[#This Row],[Objeto de la contratación]])</f>
        <v>20260645-TH-8126-9--Congelamiento recursos 5% proyecto 8126</v>
      </c>
    </row>
    <row r="653" spans="2:35" ht="56" x14ac:dyDescent="0.35">
      <c r="B653" s="137">
        <v>20260646</v>
      </c>
      <c r="C653" s="117" t="s">
        <v>921</v>
      </c>
      <c r="D653" s="125" t="s">
        <v>105</v>
      </c>
      <c r="E653" s="125" t="s">
        <v>363</v>
      </c>
      <c r="F653" s="125" t="s">
        <v>144</v>
      </c>
      <c r="G653" s="126" t="s">
        <v>924</v>
      </c>
      <c r="H653" s="132">
        <v>0</v>
      </c>
      <c r="I653" s="132">
        <v>0</v>
      </c>
      <c r="J653" s="127">
        <v>24969186</v>
      </c>
      <c r="K653" s="128" t="s">
        <v>398</v>
      </c>
      <c r="L653" s="176" t="s">
        <v>1149</v>
      </c>
      <c r="M653" s="174" t="s">
        <v>893</v>
      </c>
      <c r="N653" s="125" t="s">
        <v>197</v>
      </c>
      <c r="O653" s="174" t="s">
        <v>886</v>
      </c>
      <c r="P653" s="174" t="s">
        <v>348</v>
      </c>
      <c r="Q653" s="129" t="s">
        <v>725</v>
      </c>
      <c r="R653" s="174" t="s">
        <v>208</v>
      </c>
      <c r="S653" s="174" t="str">
        <f>MID(PAA[[#This Row],[Meta Proyecto de Inversión]],1,4)</f>
        <v>8126</v>
      </c>
      <c r="T653" s="174" t="str">
        <f>MID(PAA[[#This Row],[Meta Proyecto de Inversión]],6,2)</f>
        <v>9-</v>
      </c>
      <c r="U653" s="179" t="str">
        <f>IFERROR(VLOOKUP(N653,TD!$B$54:$F$58,2,0)," ")</f>
        <v>O230117</v>
      </c>
      <c r="V653" s="179" t="str">
        <f>IFERROR(VLOOKUP(N653,TD!$B$54:$F$58,3,0)," ")</f>
        <v>4599</v>
      </c>
      <c r="W653" s="179">
        <f>IFERROR(VLOOKUP(N653,TD!$B$54:$F$58,4,0)," ")</f>
        <v>20240207</v>
      </c>
      <c r="X653" s="174" t="s">
        <v>174</v>
      </c>
      <c r="Y653" s="167" t="str">
        <f>IFERROR(VLOOKUP(X653,TD!$J$55:$K$68,2,0)," ")</f>
        <v>Infraestructura física, mantenimiento y dotación (Sedes construidas, mantenidas reforzadas)</v>
      </c>
      <c r="Z653" s="180" t="str">
        <f>CONCATENATE(X653,"-",Y653)</f>
        <v>08-Infraestructura física, mantenimiento y dotación (Sedes construidas, mantenidas reforzadas)</v>
      </c>
      <c r="AA653" s="174" t="s">
        <v>227</v>
      </c>
      <c r="AB653" s="167" t="str">
        <f>IFERROR(VLOOKUP(AA653,TD!$N$55:$O$70,2,0)," ")</f>
        <v>Sedes mantenidas</v>
      </c>
      <c r="AC653" s="180" t="str">
        <f>CONCATENATE(AA653,"_",AB653)</f>
        <v>016_Sedes mantenidas</v>
      </c>
      <c r="AD653" s="180" t="str">
        <f>CONCATENATE(Z653," ",AC653)</f>
        <v>08-Infraestructura física, mantenimiento y dotación (Sedes construidas, mantenidas reforzadas) 016_Sedes mantenidas</v>
      </c>
      <c r="AE653" s="179" t="str">
        <f>CONCATENATE(U653,V653,W653,X653,AA653)</f>
        <v>O23011745992024020708016</v>
      </c>
      <c r="AF653" s="167" t="str">
        <f>IFERROR(VLOOKUP(AD653,TD!$J$70:$K$93,2,0)," ")</f>
        <v>PM/0131/0108/45990160207</v>
      </c>
      <c r="AG653" s="130" t="s">
        <v>385</v>
      </c>
      <c r="AH653" s="181" t="s">
        <v>194</v>
      </c>
      <c r="AI653" s="189" t="str">
        <f>CONCATENATE(PAA[[#This Row],[Id Interno]],"-",PAA[[#This Row],[tipo de Contrato (TH talento humano - B/S bienes y/o servicios)]],"-",S653,"-",T653,"-",PAA[[#This Row],[Objeto de la contratación]])</f>
        <v>20260646-TH-8126-9--Congelamiento recursos 5% proyecto 8126</v>
      </c>
    </row>
    <row r="654" spans="2:35" ht="42" x14ac:dyDescent="0.35">
      <c r="B654" s="137">
        <v>20260647</v>
      </c>
      <c r="C654" s="117" t="s">
        <v>921</v>
      </c>
      <c r="D654" s="125" t="s">
        <v>105</v>
      </c>
      <c r="E654" s="125" t="s">
        <v>363</v>
      </c>
      <c r="F654" s="125" t="s">
        <v>144</v>
      </c>
      <c r="G654" s="126" t="s">
        <v>924</v>
      </c>
      <c r="H654" s="132">
        <v>0</v>
      </c>
      <c r="I654" s="132">
        <v>0</v>
      </c>
      <c r="J654" s="127">
        <f>80423827+29800000-3648031-10104885</f>
        <v>96470911</v>
      </c>
      <c r="K654" s="128" t="s">
        <v>398</v>
      </c>
      <c r="L654" s="176" t="s">
        <v>1150</v>
      </c>
      <c r="M654" s="174" t="s">
        <v>420</v>
      </c>
      <c r="N654" s="125" t="s">
        <v>197</v>
      </c>
      <c r="O654" s="174" t="s">
        <v>886</v>
      </c>
      <c r="P654" s="174" t="s">
        <v>348</v>
      </c>
      <c r="Q654" s="129" t="s">
        <v>725</v>
      </c>
      <c r="R654" s="174" t="s">
        <v>208</v>
      </c>
      <c r="S654" s="174" t="str">
        <f>MID(PAA[[#This Row],[Meta Proyecto de Inversión]],1,4)</f>
        <v>8126</v>
      </c>
      <c r="T654" s="174" t="str">
        <f>MID(PAA[[#This Row],[Meta Proyecto de Inversión]],6,2)</f>
        <v>9-</v>
      </c>
      <c r="U654" s="179" t="str">
        <f>IFERROR(VLOOKUP(N654,TD!$B$54:$F$58,2,0)," ")</f>
        <v>O230117</v>
      </c>
      <c r="V654" s="179" t="str">
        <f>IFERROR(VLOOKUP(N654,TD!$B$54:$F$58,3,0)," ")</f>
        <v>4599</v>
      </c>
      <c r="W654" s="179">
        <f>IFERROR(VLOOKUP(N654,TD!$B$54:$F$58,4,0)," ")</f>
        <v>20240207</v>
      </c>
      <c r="X654" s="174" t="s">
        <v>174</v>
      </c>
      <c r="Y654" s="167" t="str">
        <f>IFERROR(VLOOKUP(X654,TD!$J$55:$K$68,2,0)," ")</f>
        <v>Infraestructura física, mantenimiento y dotación (Sedes construidas, mantenidas reforzadas)</v>
      </c>
      <c r="Z654" s="180" t="str">
        <f>CONCATENATE(X654,"-",Y654)</f>
        <v>08-Infraestructura física, mantenimiento y dotación (Sedes construidas, mantenidas reforzadas)</v>
      </c>
      <c r="AA654" s="174" t="s">
        <v>227</v>
      </c>
      <c r="AB654" s="167" t="str">
        <f>IFERROR(VLOOKUP(AA654,TD!$N$55:$O$70,2,0)," ")</f>
        <v>Sedes mantenidas</v>
      </c>
      <c r="AC654" s="180" t="str">
        <f>CONCATENATE(AA654,"_",AB654)</f>
        <v>016_Sedes mantenidas</v>
      </c>
      <c r="AD654" s="180" t="str">
        <f>CONCATENATE(Z654," ",AC654)</f>
        <v>08-Infraestructura física, mantenimiento y dotación (Sedes construidas, mantenidas reforzadas) 016_Sedes mantenidas</v>
      </c>
      <c r="AE654" s="179" t="str">
        <f>CONCATENATE(U654,V654,W654,X654,AA654)</f>
        <v>O23011745992024020708016</v>
      </c>
      <c r="AF654" s="167" t="str">
        <f>IFERROR(VLOOKUP(AD654,TD!$J$70:$K$93,2,0)," ")</f>
        <v>PM/0131/0108/45990160207</v>
      </c>
      <c r="AG654" s="130" t="s">
        <v>385</v>
      </c>
      <c r="AH654" s="181" t="s">
        <v>194</v>
      </c>
      <c r="AI654" s="189" t="str">
        <f>CONCATENATE(PAA[[#This Row],[Id Interno]],"-",PAA[[#This Row],[tipo de Contrato (TH talento humano - B/S bienes y/o servicios)]],"-",S654,"-",T654,"-",PAA[[#This Row],[Objeto de la contratación]])</f>
        <v>20260647-TH-8126-9--Congelamiento recursos 5% proyecto 8126</v>
      </c>
    </row>
    <row r="655" spans="2:35" ht="42" x14ac:dyDescent="0.35">
      <c r="B655" s="137">
        <v>20260648</v>
      </c>
      <c r="C655" s="117" t="s">
        <v>921</v>
      </c>
      <c r="D655" s="125" t="s">
        <v>105</v>
      </c>
      <c r="E655" s="125" t="s">
        <v>363</v>
      </c>
      <c r="F655" s="125" t="s">
        <v>144</v>
      </c>
      <c r="G655" s="126" t="s">
        <v>924</v>
      </c>
      <c r="H655" s="132">
        <v>0</v>
      </c>
      <c r="I655" s="132">
        <v>0</v>
      </c>
      <c r="J655" s="127">
        <f>3648031+20+16000+2100000+3520000+1860000+17221317</f>
        <v>28365368</v>
      </c>
      <c r="K655" s="128" t="s">
        <v>398</v>
      </c>
      <c r="L655" s="176" t="s">
        <v>1152</v>
      </c>
      <c r="M655" s="174" t="s">
        <v>438</v>
      </c>
      <c r="N655" s="125" t="s">
        <v>197</v>
      </c>
      <c r="O655" s="174" t="s">
        <v>886</v>
      </c>
      <c r="P655" s="174" t="s">
        <v>348</v>
      </c>
      <c r="Q655" s="129" t="s">
        <v>725</v>
      </c>
      <c r="R655" s="174" t="s">
        <v>208</v>
      </c>
      <c r="S655" s="174" t="str">
        <f>MID(PAA[[#This Row],[Meta Proyecto de Inversión]],1,4)</f>
        <v>8126</v>
      </c>
      <c r="T655" s="174" t="str">
        <f>MID(PAA[[#This Row],[Meta Proyecto de Inversión]],6,2)</f>
        <v>9-</v>
      </c>
      <c r="U655" s="179" t="str">
        <f>IFERROR(VLOOKUP(N655,TD!$B$54:$F$58,2,0)," ")</f>
        <v>O230117</v>
      </c>
      <c r="V655" s="179" t="str">
        <f>IFERROR(VLOOKUP(N655,TD!$B$54:$F$58,3,0)," ")</f>
        <v>4599</v>
      </c>
      <c r="W655" s="179">
        <f>IFERROR(VLOOKUP(N655,TD!$B$54:$F$58,4,0)," ")</f>
        <v>20240207</v>
      </c>
      <c r="X655" s="174" t="s">
        <v>174</v>
      </c>
      <c r="Y655" s="167" t="str">
        <f>IFERROR(VLOOKUP(X655,TD!$J$55:$K$68,2,0)," ")</f>
        <v>Infraestructura física, mantenimiento y dotación (Sedes construidas, mantenidas reforzadas)</v>
      </c>
      <c r="Z655" s="180" t="str">
        <f>CONCATENATE(X655,"-",Y655)</f>
        <v>08-Infraestructura física, mantenimiento y dotación (Sedes construidas, mantenidas reforzadas)</v>
      </c>
      <c r="AA655" s="174" t="s">
        <v>227</v>
      </c>
      <c r="AB655" s="167" t="str">
        <f>IFERROR(VLOOKUP(AA655,TD!$N$55:$O$70,2,0)," ")</f>
        <v>Sedes mantenidas</v>
      </c>
      <c r="AC655" s="180" t="str">
        <f>CONCATENATE(AA655,"_",AB655)</f>
        <v>016_Sedes mantenidas</v>
      </c>
      <c r="AD655" s="180" t="str">
        <f>CONCATENATE(Z655," ",AC655)</f>
        <v>08-Infraestructura física, mantenimiento y dotación (Sedes construidas, mantenidas reforzadas) 016_Sedes mantenidas</v>
      </c>
      <c r="AE655" s="179" t="str">
        <f>CONCATENATE(U655,V655,W655,X655,AA655)</f>
        <v>O23011745992024020708016</v>
      </c>
      <c r="AF655" s="167" t="str">
        <f>IFERROR(VLOOKUP(AD655,TD!$J$70:$K$93,2,0)," ")</f>
        <v>PM/0131/0108/45990160207</v>
      </c>
      <c r="AG655" s="130" t="s">
        <v>385</v>
      </c>
      <c r="AH655" s="181" t="s">
        <v>194</v>
      </c>
      <c r="AI655" s="189" t="str">
        <f>CONCATENATE(PAA[[#This Row],[Id Interno]],"-",PAA[[#This Row],[tipo de Contrato (TH talento humano - B/S bienes y/o servicios)]],"-",S655,"-",T655,"-",PAA[[#This Row],[Objeto de la contratación]])</f>
        <v>20260648-TH-8126-9--Congelamiento recursos 5% proyecto 8126</v>
      </c>
    </row>
    <row r="656" spans="2:35" ht="42" x14ac:dyDescent="0.35">
      <c r="B656" s="146">
        <v>20260649</v>
      </c>
      <c r="C656" s="117" t="s">
        <v>921</v>
      </c>
      <c r="D656" s="117" t="s">
        <v>83</v>
      </c>
      <c r="E656" s="125" t="s">
        <v>363</v>
      </c>
      <c r="F656" s="117" t="s">
        <v>136</v>
      </c>
      <c r="G656" s="126" t="s">
        <v>924</v>
      </c>
      <c r="H656" s="147">
        <v>0</v>
      </c>
      <c r="I656" s="147">
        <v>0</v>
      </c>
      <c r="J656" s="130">
        <v>71000000</v>
      </c>
      <c r="K656" s="148" t="s">
        <v>398</v>
      </c>
      <c r="L656" s="177" t="s">
        <v>1151</v>
      </c>
      <c r="M656" s="186" t="s">
        <v>422</v>
      </c>
      <c r="N656" s="117" t="s">
        <v>197</v>
      </c>
      <c r="O656" s="186" t="s">
        <v>886</v>
      </c>
      <c r="P656" s="186" t="s">
        <v>348</v>
      </c>
      <c r="Q656" s="149" t="s">
        <v>892</v>
      </c>
      <c r="R656" s="186" t="s">
        <v>207</v>
      </c>
      <c r="S656" s="174" t="str">
        <f>MID(PAA[[#This Row],[Meta Proyecto de Inversión]],1,4)</f>
        <v>8126</v>
      </c>
      <c r="T656" s="174" t="str">
        <f>MID(PAA[[#This Row],[Meta Proyecto de Inversión]],6,2)</f>
        <v>8-</v>
      </c>
      <c r="U656" s="187" t="str">
        <f>IFERROR(VLOOKUP(N656,TD!$B$54:$F$58,2,0)," ")</f>
        <v>O230117</v>
      </c>
      <c r="V656" s="187" t="str">
        <f>IFERROR(VLOOKUP(N656,TD!$B$54:$F$58,3,0)," ")</f>
        <v>4599</v>
      </c>
      <c r="W656" s="187">
        <f>IFERROR(VLOOKUP(N656,TD!$B$54:$F$58,4,0)," ")</f>
        <v>20240207</v>
      </c>
      <c r="X656" s="186" t="s">
        <v>174</v>
      </c>
      <c r="Y656" s="172" t="str">
        <f>IFERROR(VLOOKUP(X656,TD!$J$55:$K$68,2,0)," ")</f>
        <v>Infraestructura física, mantenimiento y dotación (Sedes construidas, mantenidas reforzadas)</v>
      </c>
      <c r="Z656" s="180" t="str">
        <f>CONCATENATE(X656,"-",Y656)</f>
        <v>08-Infraestructura física, mantenimiento y dotación (Sedes construidas, mantenidas reforzadas)</v>
      </c>
      <c r="AA656" s="186" t="s">
        <v>227</v>
      </c>
      <c r="AB656" s="172" t="str">
        <f>IFERROR(VLOOKUP(AA656,TD!$N$55:$O$70,2,0)," ")</f>
        <v>Sedes mantenidas</v>
      </c>
      <c r="AC656" s="180" t="str">
        <f>CONCATENATE(AA656,"_",AB656)</f>
        <v>016_Sedes mantenidas</v>
      </c>
      <c r="AD656" s="180" t="str">
        <f>CONCATENATE(Z656," ",AC656)</f>
        <v>08-Infraestructura física, mantenimiento y dotación (Sedes construidas, mantenidas reforzadas) 016_Sedes mantenidas</v>
      </c>
      <c r="AE656" s="187" t="str">
        <f>CONCATENATE(U656,V656,W656,X656,AA656)</f>
        <v>O23011745992024020708016</v>
      </c>
      <c r="AF656" s="172" t="str">
        <f>IFERROR(VLOOKUP(AD656,TD!$J$70:$K$93,2,0)," ")</f>
        <v>PM/0131/0108/45990160207</v>
      </c>
      <c r="AG656" s="130" t="s">
        <v>80</v>
      </c>
      <c r="AH656" s="188" t="s">
        <v>194</v>
      </c>
      <c r="AI656" s="189" t="str">
        <f>CONCATENATE(PAA[[#This Row],[Id Interno]],"-",PAA[[#This Row],[tipo de Contrato (TH talento humano - B/S bienes y/o servicios)]],"-",S656,"-",T656,"-",PAA[[#This Row],[Objeto de la contratación]])</f>
        <v>20260649-TH-8126-8--Congelamiento recursos 5% proyecto 8126</v>
      </c>
    </row>
    <row r="657" spans="2:35" ht="56" x14ac:dyDescent="0.35">
      <c r="B657" s="97">
        <v>20260650</v>
      </c>
      <c r="C657" s="117" t="s">
        <v>921</v>
      </c>
      <c r="D657" s="117" t="s">
        <v>78</v>
      </c>
      <c r="E657" s="125" t="s">
        <v>363</v>
      </c>
      <c r="F657" s="117" t="s">
        <v>97</v>
      </c>
      <c r="G657" s="126" t="s">
        <v>924</v>
      </c>
      <c r="H657" s="147">
        <v>0</v>
      </c>
      <c r="I657" s="147">
        <v>0</v>
      </c>
      <c r="J657" s="130">
        <v>166144100</v>
      </c>
      <c r="K657" s="148" t="s">
        <v>398</v>
      </c>
      <c r="L657" s="177" t="s">
        <v>1151</v>
      </c>
      <c r="M657" s="186" t="s">
        <v>422</v>
      </c>
      <c r="N657" s="117" t="s">
        <v>197</v>
      </c>
      <c r="O657" s="186" t="s">
        <v>886</v>
      </c>
      <c r="P657" s="186" t="s">
        <v>348</v>
      </c>
      <c r="Q657" s="149" t="s">
        <v>733</v>
      </c>
      <c r="R657" s="186" t="s">
        <v>207</v>
      </c>
      <c r="S657" s="174" t="str">
        <f>MID(PAA[[#This Row],[Meta Proyecto de Inversión]],1,4)</f>
        <v>8126</v>
      </c>
      <c r="T657" s="174" t="str">
        <f>MID(PAA[[#This Row],[Meta Proyecto de Inversión]],6,2)</f>
        <v>8-</v>
      </c>
      <c r="U657" s="187" t="str">
        <f>IFERROR(VLOOKUP(N657,TD!$B$54:$F$58,2,0)," ")</f>
        <v>O230117</v>
      </c>
      <c r="V657" s="187" t="str">
        <f>IFERROR(VLOOKUP(N657,TD!$B$54:$F$58,3,0)," ")</f>
        <v>4599</v>
      </c>
      <c r="W657" s="187">
        <f>IFERROR(VLOOKUP(N657,TD!$B$54:$F$58,4,0)," ")</f>
        <v>20240207</v>
      </c>
      <c r="X657" s="186" t="s">
        <v>174</v>
      </c>
      <c r="Y657" s="172" t="str">
        <f>IFERROR(VLOOKUP(X657,TD!$J$55:$K$68,2,0)," ")</f>
        <v>Infraestructura física, mantenimiento y dotación (Sedes construidas, mantenidas reforzadas)</v>
      </c>
      <c r="Z657" s="180" t="str">
        <f>CONCATENATE(X657,"-",Y657)</f>
        <v>08-Infraestructura física, mantenimiento y dotación (Sedes construidas, mantenidas reforzadas)</v>
      </c>
      <c r="AA657" s="186" t="s">
        <v>227</v>
      </c>
      <c r="AB657" s="172" t="str">
        <f>IFERROR(VLOOKUP(AA657,TD!$N$55:$O$70,2,0)," ")</f>
        <v>Sedes mantenidas</v>
      </c>
      <c r="AC657" s="180" t="str">
        <f>CONCATENATE(AA657,"_",AB657)</f>
        <v>016_Sedes mantenidas</v>
      </c>
      <c r="AD657" s="180" t="str">
        <f>CONCATENATE(Z657," ",AC657)</f>
        <v>08-Infraestructura física, mantenimiento y dotación (Sedes construidas, mantenidas reforzadas) 016_Sedes mantenidas</v>
      </c>
      <c r="AE657" s="187" t="str">
        <f>CONCATENATE(U657,V657,W657,X657,AA657)</f>
        <v>O23011745992024020708016</v>
      </c>
      <c r="AF657" s="172" t="str">
        <f>IFERROR(VLOOKUP(AD657,TD!$J$70:$K$93,2,0)," ")</f>
        <v>PM/0131/0108/45990160207</v>
      </c>
      <c r="AG657" s="130" t="s">
        <v>94</v>
      </c>
      <c r="AH657" s="188" t="s">
        <v>194</v>
      </c>
      <c r="AI657" s="189" t="str">
        <f>CONCATENATE(PAA[[#This Row],[Id Interno]],"-",PAA[[#This Row],[tipo de Contrato (TH talento humano - B/S bienes y/o servicios)]],"-",S657,"-",T657,"-",PAA[[#This Row],[Objeto de la contratación]])</f>
        <v>20260650-TH-8126-8--Congelamiento recursos 5% proyecto 8126</v>
      </c>
    </row>
    <row r="658" spans="2:35" ht="56" x14ac:dyDescent="0.35">
      <c r="B658" s="97">
        <v>20260651</v>
      </c>
      <c r="C658" s="117" t="s">
        <v>921</v>
      </c>
      <c r="D658" s="117" t="s">
        <v>114</v>
      </c>
      <c r="E658" s="125" t="s">
        <v>363</v>
      </c>
      <c r="F658" s="117" t="s">
        <v>89</v>
      </c>
      <c r="G658" s="126" t="s">
        <v>924</v>
      </c>
      <c r="H658" s="147">
        <v>0</v>
      </c>
      <c r="I658" s="147">
        <v>0</v>
      </c>
      <c r="J658" s="130">
        <v>26250000</v>
      </c>
      <c r="K658" s="148" t="s">
        <v>398</v>
      </c>
      <c r="L658" s="177" t="s">
        <v>1151</v>
      </c>
      <c r="M658" s="186" t="s">
        <v>422</v>
      </c>
      <c r="N658" s="117" t="s">
        <v>197</v>
      </c>
      <c r="O658" s="186" t="s">
        <v>886</v>
      </c>
      <c r="P658" s="186" t="s">
        <v>348</v>
      </c>
      <c r="Q658" s="149" t="s">
        <v>726</v>
      </c>
      <c r="R658" s="186" t="s">
        <v>207</v>
      </c>
      <c r="S658" s="174" t="str">
        <f>MID(PAA[[#This Row],[Meta Proyecto de Inversión]],1,4)</f>
        <v>8126</v>
      </c>
      <c r="T658" s="174" t="str">
        <f>MID(PAA[[#This Row],[Meta Proyecto de Inversión]],6,2)</f>
        <v>8-</v>
      </c>
      <c r="U658" s="187" t="str">
        <f>IFERROR(VLOOKUP(N658,TD!$B$54:$F$58,2,0)," ")</f>
        <v>O230117</v>
      </c>
      <c r="V658" s="187" t="str">
        <f>IFERROR(VLOOKUP(N658,TD!$B$54:$F$58,3,0)," ")</f>
        <v>4599</v>
      </c>
      <c r="W658" s="187">
        <f>IFERROR(VLOOKUP(N658,TD!$B$54:$F$58,4,0)," ")</f>
        <v>20240207</v>
      </c>
      <c r="X658" s="186" t="s">
        <v>174</v>
      </c>
      <c r="Y658" s="172" t="str">
        <f>IFERROR(VLOOKUP(X658,TD!$J$55:$K$68,2,0)," ")</f>
        <v>Infraestructura física, mantenimiento y dotación (Sedes construidas, mantenidas reforzadas)</v>
      </c>
      <c r="Z658" s="180" t="str">
        <f>CONCATENATE(X658,"-",Y658)</f>
        <v>08-Infraestructura física, mantenimiento y dotación (Sedes construidas, mantenidas reforzadas)</v>
      </c>
      <c r="AA658" s="186" t="s">
        <v>227</v>
      </c>
      <c r="AB658" s="172" t="str">
        <f>IFERROR(VLOOKUP(AA658,TD!$N$55:$O$70,2,0)," ")</f>
        <v>Sedes mantenidas</v>
      </c>
      <c r="AC658" s="180" t="str">
        <f>CONCATENATE(AA658,"_",AB658)</f>
        <v>016_Sedes mantenidas</v>
      </c>
      <c r="AD658" s="180" t="str">
        <f>CONCATENATE(Z658," ",AC658)</f>
        <v>08-Infraestructura física, mantenimiento y dotación (Sedes construidas, mantenidas reforzadas) 016_Sedes mantenidas</v>
      </c>
      <c r="AE658" s="187" t="str">
        <f>CONCATENATE(U658,V658,W658,X658,AA658)</f>
        <v>O23011745992024020708016</v>
      </c>
      <c r="AF658" s="172" t="str">
        <f>IFERROR(VLOOKUP(AD658,TD!$J$70:$K$93,2,0)," ")</f>
        <v>PM/0131/0108/45990160207</v>
      </c>
      <c r="AG658" s="130" t="s">
        <v>134</v>
      </c>
      <c r="AH658" s="182" t="s">
        <v>194</v>
      </c>
      <c r="AI658" s="189" t="str">
        <f>CONCATENATE(PAA[[#This Row],[Id Interno]],"-",PAA[[#This Row],[tipo de Contrato (TH talento humano - B/S bienes y/o servicios)]],"-",S658,"-",T658,"-",PAA[[#This Row],[Objeto de la contratación]])</f>
        <v>20260651-TH-8126-8--Congelamiento recursos 5% proyecto 8126</v>
      </c>
    </row>
    <row r="659" spans="2:35" ht="56" x14ac:dyDescent="0.35">
      <c r="B659" s="23">
        <v>20260652</v>
      </c>
      <c r="C659" s="97" t="s">
        <v>926</v>
      </c>
      <c r="D659" s="23" t="s">
        <v>105</v>
      </c>
      <c r="E659" s="23" t="s">
        <v>363</v>
      </c>
      <c r="F659" s="23" t="s">
        <v>144</v>
      </c>
      <c r="G659" s="124" t="s">
        <v>373</v>
      </c>
      <c r="H659" s="131">
        <v>7</v>
      </c>
      <c r="I659" s="131">
        <v>0</v>
      </c>
      <c r="J659" s="122">
        <v>55300000</v>
      </c>
      <c r="K659" s="88" t="s">
        <v>398</v>
      </c>
      <c r="L659" s="163" t="s">
        <v>154</v>
      </c>
      <c r="M659" s="166" t="s">
        <v>438</v>
      </c>
      <c r="N659" s="23" t="s">
        <v>198</v>
      </c>
      <c r="O659" s="166" t="s">
        <v>887</v>
      </c>
      <c r="P659" s="166" t="s">
        <v>348</v>
      </c>
      <c r="Q659" s="53">
        <v>80111600</v>
      </c>
      <c r="R659" s="166" t="s">
        <v>218</v>
      </c>
      <c r="S659" s="166" t="str">
        <f>MID(PAA[[#This Row],[Meta Proyecto de Inversión]],1,4)</f>
        <v>8173</v>
      </c>
      <c r="T659" s="166" t="str">
        <f>MID(PAA[[#This Row],[Meta Proyecto de Inversión]],6,2)</f>
        <v>9-</v>
      </c>
      <c r="U659" s="167" t="str">
        <f>IFERROR(VLOOKUP(N659,TD!$B$54:$F$58,2,0)," ")</f>
        <v>O230117</v>
      </c>
      <c r="V659" s="167" t="str">
        <f>IFERROR(VLOOKUP(N659,TD!$B$54:$F$58,3,0)," ")</f>
        <v>4503</v>
      </c>
      <c r="W659" s="167">
        <f>IFERROR(VLOOKUP(N659,TD!$B$54:$F$58,4,0)," ")</f>
        <v>20240255</v>
      </c>
      <c r="X659" s="174" t="s">
        <v>172</v>
      </c>
      <c r="Y659" s="167" t="str">
        <f>IFERROR(VLOOKUP(X659,TD!$J$55:$K$68,2,0)," ")</f>
        <v>Servicio de formación en gestión del riesgo de incendios para el personal UAECOB</v>
      </c>
      <c r="Z659" s="180" t="str">
        <f>CONCATENATE(X659,"-",Y659)</f>
        <v>07-Servicio de formación en gestión del riesgo de incendios para el personal UAECOB</v>
      </c>
      <c r="AA659" s="174" t="s">
        <v>222</v>
      </c>
      <c r="AB659" s="167" t="str">
        <f>IFERROR(VLOOKUP(AA659,TD!$N$55:$O$70,2,0)," ")</f>
        <v>Servicio de educación informal</v>
      </c>
      <c r="AC659" s="168" t="str">
        <f>CONCATENATE(AA659,"_",AB659)</f>
        <v>002_Servicio de educación informal</v>
      </c>
      <c r="AD659" s="168" t="str">
        <f>CONCATENATE(Z659," ",AC659)</f>
        <v>07-Servicio de formación en gestión del riesgo de incendios para el personal UAECOB 002_Servicio de educación informal</v>
      </c>
      <c r="AE659" s="167" t="str">
        <f>CONCATENATE(U659,V659,W659,X659,AA659)</f>
        <v>O23011745032024025507002</v>
      </c>
      <c r="AF659" s="167" t="str">
        <f>IFERROR(VLOOKUP(AD659,TD!$J$70:$K$93,2,0)," ")</f>
        <v>PM/0131/0107/45030020255</v>
      </c>
      <c r="AG659" s="130" t="s">
        <v>385</v>
      </c>
      <c r="AH659" s="175" t="s">
        <v>193</v>
      </c>
      <c r="AI659" s="184" t="str">
        <f>CONCATENATE(PAA[[#This Row],[Id Interno]],"-",PAA[[#This Row],[tipo de Contrato (TH talento humano - B/S bienes y/o servicios)]],"-",S659,"-",T659,"-",PAA[[#This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60" spans="2:35" ht="70" x14ac:dyDescent="0.35">
      <c r="B660" s="23">
        <v>20260653</v>
      </c>
      <c r="C660" s="97" t="s">
        <v>927</v>
      </c>
      <c r="D660" s="23" t="s">
        <v>105</v>
      </c>
      <c r="E660" s="23" t="s">
        <v>363</v>
      </c>
      <c r="F660" s="23" t="s">
        <v>145</v>
      </c>
      <c r="G660" s="124" t="s">
        <v>373</v>
      </c>
      <c r="H660" s="131">
        <v>7</v>
      </c>
      <c r="I660" s="131">
        <v>0</v>
      </c>
      <c r="J660" s="122">
        <v>28000000</v>
      </c>
      <c r="K660" s="88" t="s">
        <v>398</v>
      </c>
      <c r="L660" s="163" t="s">
        <v>154</v>
      </c>
      <c r="M660" s="166" t="s">
        <v>438</v>
      </c>
      <c r="N660" s="23" t="s">
        <v>198</v>
      </c>
      <c r="O660" s="166" t="s">
        <v>887</v>
      </c>
      <c r="P660" s="166" t="s">
        <v>348</v>
      </c>
      <c r="Q660" s="53">
        <v>80111600</v>
      </c>
      <c r="R660" s="166" t="s">
        <v>218</v>
      </c>
      <c r="S660" s="166" t="str">
        <f>MID(PAA[[#This Row],[Meta Proyecto de Inversión]],1,4)</f>
        <v>8173</v>
      </c>
      <c r="T660" s="166" t="str">
        <f>MID(PAA[[#This Row],[Meta Proyecto de Inversión]],6,2)</f>
        <v>9-</v>
      </c>
      <c r="U660" s="167" t="str">
        <f>IFERROR(VLOOKUP(N660,TD!$B$54:$F$58,2,0)," ")</f>
        <v>O230117</v>
      </c>
      <c r="V660" s="167" t="str">
        <f>IFERROR(VLOOKUP(N660,TD!$B$54:$F$58,3,0)," ")</f>
        <v>4503</v>
      </c>
      <c r="W660" s="167">
        <f>IFERROR(VLOOKUP(N660,TD!$B$54:$F$58,4,0)," ")</f>
        <v>20240255</v>
      </c>
      <c r="X660" s="174" t="s">
        <v>172</v>
      </c>
      <c r="Y660" s="167" t="str">
        <f>IFERROR(VLOOKUP(X660,TD!$J$55:$K$68,2,0)," ")</f>
        <v>Servicio de formación en gestión del riesgo de incendios para el personal UAECOB</v>
      </c>
      <c r="Z660" s="180" t="str">
        <f>CONCATENATE(X660,"-",Y660)</f>
        <v>07-Servicio de formación en gestión del riesgo de incendios para el personal UAECOB</v>
      </c>
      <c r="AA660" s="174" t="s">
        <v>222</v>
      </c>
      <c r="AB660" s="167" t="str">
        <f>IFERROR(VLOOKUP(AA660,TD!$N$55:$O$70,2,0)," ")</f>
        <v>Servicio de educación informal</v>
      </c>
      <c r="AC660" s="168" t="str">
        <f>CONCATENATE(AA660,"_",AB660)</f>
        <v>002_Servicio de educación informal</v>
      </c>
      <c r="AD660" s="168" t="str">
        <f>CONCATENATE(Z660," ",AC660)</f>
        <v>07-Servicio de formación en gestión del riesgo de incendios para el personal UAECOB 002_Servicio de educación informal</v>
      </c>
      <c r="AE660" s="167" t="str">
        <f>CONCATENATE(U660,V660,W660,X660,AA660)</f>
        <v>O23011745032024025507002</v>
      </c>
      <c r="AF660" s="167" t="str">
        <f>IFERROR(VLOOKUP(AD660,TD!$J$70:$K$93,2,0)," ")</f>
        <v>PM/0131/0107/45030020255</v>
      </c>
      <c r="AG660" s="130" t="s">
        <v>385</v>
      </c>
      <c r="AH660" s="175" t="s">
        <v>193</v>
      </c>
      <c r="AI660" s="184" t="str">
        <f>CONCATENATE(PAA[[#This Row],[Id Interno]],"-",PAA[[#This Row],[tipo de Contrato (TH talento humano - B/S bienes y/o servicios)]],"-",S660,"-",T660,"-",PAA[[#This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61" spans="2:35" ht="84" x14ac:dyDescent="0.35">
      <c r="B661" s="23">
        <v>20260654</v>
      </c>
      <c r="C661" s="97" t="s">
        <v>928</v>
      </c>
      <c r="D661" s="23" t="s">
        <v>105</v>
      </c>
      <c r="E661" s="23" t="s">
        <v>363</v>
      </c>
      <c r="F661" s="23" t="s">
        <v>144</v>
      </c>
      <c r="G661" s="124" t="s">
        <v>373</v>
      </c>
      <c r="H661" s="131">
        <v>6</v>
      </c>
      <c r="I661" s="131">
        <v>0</v>
      </c>
      <c r="J661" s="122">
        <v>45000000</v>
      </c>
      <c r="K661" s="88" t="s">
        <v>398</v>
      </c>
      <c r="L661" s="163" t="s">
        <v>154</v>
      </c>
      <c r="M661" s="166" t="s">
        <v>438</v>
      </c>
      <c r="N661" s="23" t="s">
        <v>198</v>
      </c>
      <c r="O661" s="166" t="s">
        <v>887</v>
      </c>
      <c r="P661" s="166" t="s">
        <v>348</v>
      </c>
      <c r="Q661" s="53">
        <v>80111600</v>
      </c>
      <c r="R661" s="166" t="s">
        <v>218</v>
      </c>
      <c r="S661" s="166" t="str">
        <f>MID(PAA[[#This Row],[Meta Proyecto de Inversión]],1,4)</f>
        <v>8173</v>
      </c>
      <c r="T661" s="166" t="str">
        <f>MID(PAA[[#This Row],[Meta Proyecto de Inversión]],6,2)</f>
        <v>9-</v>
      </c>
      <c r="U661" s="167" t="str">
        <f>IFERROR(VLOOKUP(N661,TD!$B$54:$F$58,2,0)," ")</f>
        <v>O230117</v>
      </c>
      <c r="V661" s="167" t="str">
        <f>IFERROR(VLOOKUP(N661,TD!$B$54:$F$58,3,0)," ")</f>
        <v>4503</v>
      </c>
      <c r="W661" s="167">
        <f>IFERROR(VLOOKUP(N661,TD!$B$54:$F$58,4,0)," ")</f>
        <v>20240255</v>
      </c>
      <c r="X661" s="174" t="s">
        <v>172</v>
      </c>
      <c r="Y661" s="167" t="str">
        <f>IFERROR(VLOOKUP(X661,TD!$J$55:$K$68,2,0)," ")</f>
        <v>Servicio de formación en gestión del riesgo de incendios para el personal UAECOB</v>
      </c>
      <c r="Z661" s="180" t="str">
        <f>CONCATENATE(X661,"-",Y661)</f>
        <v>07-Servicio de formación en gestión del riesgo de incendios para el personal UAECOB</v>
      </c>
      <c r="AA661" s="174" t="s">
        <v>222</v>
      </c>
      <c r="AB661" s="167" t="str">
        <f>IFERROR(VLOOKUP(AA661,TD!$N$55:$O$70,2,0)," ")</f>
        <v>Servicio de educación informal</v>
      </c>
      <c r="AC661" s="168" t="str">
        <f>CONCATENATE(AA661,"_",AB661)</f>
        <v>002_Servicio de educación informal</v>
      </c>
      <c r="AD661" s="168" t="str">
        <f>CONCATENATE(Z661," ",AC661)</f>
        <v>07-Servicio de formación en gestión del riesgo de incendios para el personal UAECOB 002_Servicio de educación informal</v>
      </c>
      <c r="AE661" s="167" t="str">
        <f>CONCATENATE(U661,V661,W661,X661,AA661)</f>
        <v>O23011745032024025507002</v>
      </c>
      <c r="AF661" s="167" t="str">
        <f>IFERROR(VLOOKUP(AD661,TD!$J$70:$K$93,2,0)," ")</f>
        <v>PM/0131/0107/45030020255</v>
      </c>
      <c r="AG661" s="130" t="s">
        <v>385</v>
      </c>
      <c r="AH661" s="175" t="s">
        <v>193</v>
      </c>
      <c r="AI661" s="184" t="str">
        <f>CONCATENATE(PAA[[#This Row],[Id Interno]],"-",PAA[[#This Row],[tipo de Contrato (TH talento humano - B/S bienes y/o servicios)]],"-",S661,"-",T661,"-",PAA[[#This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62" spans="2:35" ht="70" x14ac:dyDescent="0.35">
      <c r="B662" s="23">
        <v>20260655</v>
      </c>
      <c r="C662" s="97" t="s">
        <v>770</v>
      </c>
      <c r="D662" s="23" t="s">
        <v>83</v>
      </c>
      <c r="E662" s="23" t="s">
        <v>402</v>
      </c>
      <c r="F662" s="23" t="s">
        <v>124</v>
      </c>
      <c r="G662" s="124" t="s">
        <v>375</v>
      </c>
      <c r="H662" s="131">
        <v>3</v>
      </c>
      <c r="I662" s="131">
        <v>0</v>
      </c>
      <c r="J662" s="122">
        <v>400000000</v>
      </c>
      <c r="K662" s="88" t="s">
        <v>398</v>
      </c>
      <c r="L662" s="163" t="s">
        <v>156</v>
      </c>
      <c r="M662" s="166" t="s">
        <v>484</v>
      </c>
      <c r="N662" s="23" t="s">
        <v>198</v>
      </c>
      <c r="O662" s="166" t="s">
        <v>887</v>
      </c>
      <c r="P662" s="166" t="s">
        <v>348</v>
      </c>
      <c r="Q662" s="53" t="s">
        <v>932</v>
      </c>
      <c r="R662" s="166" t="s">
        <v>210</v>
      </c>
      <c r="S662" s="166" t="str">
        <f>MID(PAA[[#This Row],[Meta Proyecto de Inversión]],1,4)</f>
        <v>8173</v>
      </c>
      <c r="T662" s="166" t="str">
        <f>MID(PAA[[#This Row],[Meta Proyecto de Inversión]],6,2)</f>
        <v>1-</v>
      </c>
      <c r="U662" s="167" t="str">
        <f>IFERROR(VLOOKUP(N662,TD!$B$54:$F$58,2,0)," ")</f>
        <v>O230117</v>
      </c>
      <c r="V662" s="167" t="str">
        <f>IFERROR(VLOOKUP(N662,TD!$B$54:$F$58,3,0)," ")</f>
        <v>4503</v>
      </c>
      <c r="W662" s="167">
        <f>IFERROR(VLOOKUP(N662,TD!$B$54:$F$58,4,0)," ")</f>
        <v>20240255</v>
      </c>
      <c r="X662" s="174" t="s">
        <v>166</v>
      </c>
      <c r="Y662" s="167" t="str">
        <f>IFERROR(VLOOKUP(X662,TD!$J$55:$K$68,2,0)," ")</f>
        <v>Servicio de capacitaciones en gestión del riesgo de incendios  a la ciudadania.</v>
      </c>
      <c r="Z662" s="180" t="str">
        <f>CONCATENATE(X662,"-",Y662)</f>
        <v>05-Servicio de capacitaciones en gestión del riesgo de incendios  a la ciudadania.</v>
      </c>
      <c r="AA662" s="174" t="s">
        <v>223</v>
      </c>
      <c r="AB662" s="167" t="str">
        <f>IFERROR(VLOOKUP(AA662,TD!$N$55:$O$70,2,0)," ")</f>
        <v>Servicio prevención y control de incendios</v>
      </c>
      <c r="AC662" s="168" t="str">
        <f>CONCATENATE(AA662,"_",AB662)</f>
        <v>035_Servicio prevención y control de incendios</v>
      </c>
      <c r="AD662" s="168" t="str">
        <f>CONCATENATE(Z662," ",AC662)</f>
        <v>05-Servicio de capacitaciones en gestión del riesgo de incendios  a la ciudadania. 035_Servicio prevención y control de incendios</v>
      </c>
      <c r="AE662" s="167" t="str">
        <f>CONCATENATE(U662,V662,W662,X662,AA662)</f>
        <v>O23011745032024025505035</v>
      </c>
      <c r="AF662" s="167" t="str">
        <f>IFERROR(VLOOKUP(AD662,TD!$J$70:$K$93,2,0)," ")</f>
        <v>PM/0131/0105/45030350255</v>
      </c>
      <c r="AG662" s="130" t="s">
        <v>862</v>
      </c>
      <c r="AH662" s="175" t="s">
        <v>193</v>
      </c>
      <c r="AI662" s="184" t="str">
        <f>CONCATENATE(PAA[[#This Row],[Id Interno]],"-",PAA[[#This Row],[tipo de Contrato (TH talento humano - B/S bienes y/o servicios)]],"-",S662,"-",T662,"-",PAA[[#This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63" spans="2:35" ht="70" x14ac:dyDescent="0.35">
      <c r="B663" s="23">
        <v>20260656</v>
      </c>
      <c r="C663" s="97" t="s">
        <v>933</v>
      </c>
      <c r="D663" s="23" t="s">
        <v>114</v>
      </c>
      <c r="E663" s="23" t="s">
        <v>402</v>
      </c>
      <c r="F663" s="23" t="s">
        <v>89</v>
      </c>
      <c r="G663" s="124" t="s">
        <v>374</v>
      </c>
      <c r="H663" s="131">
        <v>3</v>
      </c>
      <c r="I663" s="131">
        <v>20</v>
      </c>
      <c r="J663" s="122">
        <v>52231036</v>
      </c>
      <c r="K663" s="88" t="s">
        <v>398</v>
      </c>
      <c r="L663" s="163" t="s">
        <v>155</v>
      </c>
      <c r="M663" s="166" t="s">
        <v>422</v>
      </c>
      <c r="N663" s="23" t="s">
        <v>330</v>
      </c>
      <c r="O663" s="166" t="s">
        <v>886</v>
      </c>
      <c r="P663" s="166" t="s">
        <v>161</v>
      </c>
      <c r="Q663" s="53" t="s">
        <v>739</v>
      </c>
      <c r="R663" s="166" t="s">
        <v>331</v>
      </c>
      <c r="S663" s="166" t="s">
        <v>934</v>
      </c>
      <c r="T663" s="166" t="str">
        <f>MID(PAA[[#This Row],[Meta Proyecto de Inversión]],6,2)</f>
        <v>li</v>
      </c>
      <c r="U663" s="167" t="str">
        <f>IFERROR(VLOOKUP(N663,TD!$B$54:$F$58,2,0)," ")</f>
        <v>NA</v>
      </c>
      <c r="V663" s="167" t="str">
        <f>IFERROR(VLOOKUP(N663,TD!$B$54:$F$58,3,0)," ")</f>
        <v>NA</v>
      </c>
      <c r="W663" s="167" t="str">
        <f>IFERROR(VLOOKUP(N663,TD!$B$54:$F$58,4,0)," ")</f>
        <v>NA</v>
      </c>
      <c r="X663" s="174" t="s">
        <v>335</v>
      </c>
      <c r="Y663" s="167" t="str">
        <f>IFERROR(VLOOKUP(X663,TD!$J$55:$K$68,2,0)," ")</f>
        <v>N/A</v>
      </c>
      <c r="Z663" s="180" t="str">
        <f>CONCATENATE(X663,"-",Y663)</f>
        <v>N/A-N/A</v>
      </c>
      <c r="AA663" s="174" t="s">
        <v>335</v>
      </c>
      <c r="AB663" s="167" t="str">
        <f>IFERROR(VLOOKUP(AA663,TD!$N$55:$O$70,2,0)," ")</f>
        <v>N/A</v>
      </c>
      <c r="AC663" s="168" t="str">
        <f>CONCATENATE(AA663,"_",AB663)</f>
        <v>N/A_N/A</v>
      </c>
      <c r="AD663" s="168" t="str">
        <f>CONCATENATE(Z663," ",AC663)</f>
        <v>N/A-N/A N/A_N/A</v>
      </c>
      <c r="AE663" s="167" t="str">
        <f>CONCATENATE(U663,V663,W663,X663,AA663)</f>
        <v>NANANAN/AN/A</v>
      </c>
      <c r="AF663" s="167" t="str">
        <f>IFERROR(VLOOKUP(AD663,TD!$J$70:$K$93,2,0)," ")</f>
        <v>N/A</v>
      </c>
      <c r="AG663" s="130" t="s">
        <v>332</v>
      </c>
      <c r="AH663" s="175" t="s">
        <v>194</v>
      </c>
      <c r="AI663" s="184" t="str">
        <f>CONCATENATE(PAA[[#This Row],[Id Interno]],"-",PAA[[#This Row],[tipo de Contrato (TH talento humano - B/S bienes y/o servicios)]],"-",S663,"-",T663,"-",PAA[[#This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64" spans="2:35" ht="126" x14ac:dyDescent="0.35">
      <c r="B664" s="23">
        <v>20260657</v>
      </c>
      <c r="C664" s="97" t="s">
        <v>702</v>
      </c>
      <c r="D664" s="23" t="s">
        <v>114</v>
      </c>
      <c r="E664" s="23" t="s">
        <v>402</v>
      </c>
      <c r="F664" s="23" t="s">
        <v>111</v>
      </c>
      <c r="G664" s="124" t="s">
        <v>376</v>
      </c>
      <c r="H664" s="131">
        <v>10</v>
      </c>
      <c r="I664" s="131">
        <v>0</v>
      </c>
      <c r="J664" s="122">
        <v>400000000</v>
      </c>
      <c r="K664" s="88" t="s">
        <v>398</v>
      </c>
      <c r="L664" s="163" t="s">
        <v>155</v>
      </c>
      <c r="M664" s="166" t="s">
        <v>422</v>
      </c>
      <c r="N664" s="23" t="s">
        <v>198</v>
      </c>
      <c r="O664" s="166" t="s">
        <v>887</v>
      </c>
      <c r="P664" s="166" t="s">
        <v>348</v>
      </c>
      <c r="Q664" s="53" t="s">
        <v>1125</v>
      </c>
      <c r="R664" s="166" t="s">
        <v>351</v>
      </c>
      <c r="S664" s="166" t="str">
        <f>MID(PAA[[#This Row],[Meta Proyecto de Inversión]],1,4)</f>
        <v>8173</v>
      </c>
      <c r="T664" s="166" t="str">
        <f>MID(PAA[[#This Row],[Meta Proyecto de Inversión]],6,2)</f>
        <v>11</v>
      </c>
      <c r="U664" s="167" t="str">
        <f>IFERROR(VLOOKUP(N664,TD!$B$54:$F$58,2,0)," ")</f>
        <v>O230117</v>
      </c>
      <c r="V664" s="167" t="str">
        <f>IFERROR(VLOOKUP(N664,TD!$B$54:$F$58,3,0)," ")</f>
        <v>4503</v>
      </c>
      <c r="W664" s="167">
        <f>IFERROR(VLOOKUP(N664,TD!$B$54:$F$58,4,0)," ")</f>
        <v>20240255</v>
      </c>
      <c r="X664" s="174">
        <v>14</v>
      </c>
      <c r="Y664" s="167" t="str">
        <f>IFERROR(VLOOKUP(X664,TD!$J$55:$K$68,2,0)," ")</f>
        <v xml:space="preserve">Infraestructura física misional construida mantenida y dotada </v>
      </c>
      <c r="Z664" s="180" t="str">
        <f>CONCATENATE(X664,"-",Y664)</f>
        <v xml:space="preserve">14-Infraestructura física misional construida mantenida y dotada </v>
      </c>
      <c r="AA664" s="174" t="s">
        <v>225</v>
      </c>
      <c r="AB664" s="167" t="str">
        <f>IFERROR(VLOOKUP(AA664,TD!$N$55:$O$70,2,0)," ")</f>
        <v>Estaciones de bomberos adecuadas</v>
      </c>
      <c r="AC664" s="168" t="str">
        <f>CONCATENATE(AA664,"_",AB664)</f>
        <v>014_Estaciones de bomberos adecuadas</v>
      </c>
      <c r="AD664" s="168" t="str">
        <f>CONCATENATE(Z664," ",AC664)</f>
        <v>14-Infraestructura física misional construida mantenida y dotada  014_Estaciones de bomberos adecuadas</v>
      </c>
      <c r="AE664" s="167" t="str">
        <f>CONCATENATE(U664,V664,W664,X664,AA664)</f>
        <v>O23011745032024025514014</v>
      </c>
      <c r="AF664" s="167" t="str">
        <f>IFERROR(VLOOKUP(AD664,TD!$J$70:$K$93,2,0)," ")</f>
        <v>PM/0131/0114/45030140255</v>
      </c>
      <c r="AG664" s="130" t="s">
        <v>866</v>
      </c>
      <c r="AH664" s="175" t="s">
        <v>193</v>
      </c>
      <c r="AI664" s="184" t="str">
        <f>CONCATENATE(PAA[[#This Row],[Id Interno]],"-",PAA[[#This Row],[tipo de Contrato (TH talento humano - B/S bienes y/o servicios)]],"-",S664,"-",T664,"-",PAA[[#This Row],[Objeto de la contratación]])</f>
        <v>20260657-BS-8173-11-Suministro de materiales, equipos y herramientas para el mejoramiento integral de las instalaciones para la Unidad Administrativa Especial Cuerpo Oficial de Bomberos Bogotá -SGC</v>
      </c>
    </row>
    <row r="665" spans="2:35" ht="378" x14ac:dyDescent="0.35">
      <c r="B665" s="97">
        <v>20260658</v>
      </c>
      <c r="C665" s="97" t="s">
        <v>1045</v>
      </c>
      <c r="D665" s="23" t="s">
        <v>114</v>
      </c>
      <c r="E665" s="23" t="s">
        <v>402</v>
      </c>
      <c r="F665" s="23" t="s">
        <v>89</v>
      </c>
      <c r="G665" s="124" t="s">
        <v>377</v>
      </c>
      <c r="H665" s="131">
        <v>2</v>
      </c>
      <c r="I665" s="131">
        <v>0</v>
      </c>
      <c r="J665" s="122">
        <v>289132047</v>
      </c>
      <c r="K665" s="88" t="s">
        <v>398</v>
      </c>
      <c r="L665" s="163" t="s">
        <v>155</v>
      </c>
      <c r="M665" s="166" t="s">
        <v>422</v>
      </c>
      <c r="N665" s="23" t="s">
        <v>197</v>
      </c>
      <c r="O665" s="166" t="s">
        <v>886</v>
      </c>
      <c r="P665" s="166" t="s">
        <v>348</v>
      </c>
      <c r="Q665" s="53" t="s">
        <v>726</v>
      </c>
      <c r="R665" s="166" t="s">
        <v>207</v>
      </c>
      <c r="S665" s="166" t="str">
        <f>MID(PAA[[#This Row],[Meta Proyecto de Inversión]],1,4)</f>
        <v>8126</v>
      </c>
      <c r="T665" s="166" t="str">
        <f>MID(PAA[[#This Row],[Meta Proyecto de Inversión]],6,2)</f>
        <v>8-</v>
      </c>
      <c r="U665" s="167" t="str">
        <f>IFERROR(VLOOKUP(N665,TD!$B$54:$F$58,2,0)," ")</f>
        <v>O230117</v>
      </c>
      <c r="V665" s="167" t="str">
        <f>IFERROR(VLOOKUP(N665,TD!$B$54:$F$58,3,0)," ")</f>
        <v>4599</v>
      </c>
      <c r="W665" s="167">
        <f>IFERROR(VLOOKUP(N665,TD!$B$54:$F$58,4,0)," ")</f>
        <v>20240207</v>
      </c>
      <c r="X665" s="174" t="s">
        <v>174</v>
      </c>
      <c r="Y665" s="167" t="str">
        <f>IFERROR(VLOOKUP(X665,TD!$J$55:$K$68,2,0)," ")</f>
        <v>Infraestructura física, mantenimiento y dotación (Sedes construidas, mantenidas reforzadas)</v>
      </c>
      <c r="Z665" s="180" t="str">
        <f>CONCATENATE(X665,"-",Y665)</f>
        <v>08-Infraestructura física, mantenimiento y dotación (Sedes construidas, mantenidas reforzadas)</v>
      </c>
      <c r="AA665" s="174" t="s">
        <v>227</v>
      </c>
      <c r="AB665" s="167" t="str">
        <f>IFERROR(VLOOKUP(AA665,TD!$N$55:$O$70,2,0)," ")</f>
        <v>Sedes mantenidas</v>
      </c>
      <c r="AC665" s="168" t="str">
        <f>CONCATENATE(AA665,"_",AB665)</f>
        <v>016_Sedes mantenidas</v>
      </c>
      <c r="AD665" s="168" t="str">
        <f>CONCATENATE(Z665," ",AC665)</f>
        <v>08-Infraestructura física, mantenimiento y dotación (Sedes construidas, mantenidas reforzadas) 016_Sedes mantenidas</v>
      </c>
      <c r="AE665" s="167" t="str">
        <f>CONCATENATE(U665,V665,W665,X665,AA665)</f>
        <v>O23011745992024020708016</v>
      </c>
      <c r="AF665" s="167" t="str">
        <f>IFERROR(VLOOKUP(AD665,TD!$J$70:$K$93,2,0)," ")</f>
        <v>PM/0131/0108/45990160207</v>
      </c>
      <c r="AG665" s="130" t="s">
        <v>134</v>
      </c>
      <c r="AH665" s="175" t="s">
        <v>194</v>
      </c>
      <c r="AI665" s="184" t="str">
        <f>CONCATENATE(PAA[[#This Row],[Id Interno]],"-",PAA[[#This Row],[tipo de Contrato (TH talento humano - B/S bienes y/o servicios)]],"-",S665,"-",T665,"-",PAA[[#This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666" spans="2:35" ht="56" x14ac:dyDescent="0.35">
      <c r="B666" s="23">
        <v>20260660</v>
      </c>
      <c r="C666" s="97" t="s">
        <v>937</v>
      </c>
      <c r="D666" s="23" t="s">
        <v>105</v>
      </c>
      <c r="E666" s="23" t="s">
        <v>363</v>
      </c>
      <c r="F666" s="23" t="s">
        <v>144</v>
      </c>
      <c r="G666" s="124" t="s">
        <v>376</v>
      </c>
      <c r="H666" s="131">
        <v>1</v>
      </c>
      <c r="I666" s="131">
        <v>15</v>
      </c>
      <c r="J666" s="122">
        <v>10500000</v>
      </c>
      <c r="K666" s="88" t="s">
        <v>398</v>
      </c>
      <c r="L666" s="163" t="s">
        <v>154</v>
      </c>
      <c r="M666" s="166" t="s">
        <v>438</v>
      </c>
      <c r="N666" s="23" t="s">
        <v>198</v>
      </c>
      <c r="O666" s="166" t="s">
        <v>887</v>
      </c>
      <c r="P666" s="166" t="s">
        <v>348</v>
      </c>
      <c r="Q666" s="53">
        <v>80111600</v>
      </c>
      <c r="R666" s="166" t="s">
        <v>218</v>
      </c>
      <c r="S666" s="166" t="str">
        <f>MID(PAA[[#This Row],[Meta Proyecto de Inversión]],1,4)</f>
        <v>8173</v>
      </c>
      <c r="T666" s="166" t="str">
        <f>MID(PAA[[#This Row],[Meta Proyecto de Inversión]],6,2)</f>
        <v>9-</v>
      </c>
      <c r="U666" s="167" t="str">
        <f>IFERROR(VLOOKUP(N666,TD!$B$54:$F$58,2,0)," ")</f>
        <v>O230117</v>
      </c>
      <c r="V666" s="167" t="str">
        <f>IFERROR(VLOOKUP(N666,TD!$B$54:$F$58,3,0)," ")</f>
        <v>4503</v>
      </c>
      <c r="W666" s="167">
        <f>IFERROR(VLOOKUP(N666,TD!$B$54:$F$58,4,0)," ")</f>
        <v>20240255</v>
      </c>
      <c r="X666" s="174" t="s">
        <v>172</v>
      </c>
      <c r="Y666" s="167" t="str">
        <f>IFERROR(VLOOKUP(X666,TD!$J$55:$K$68,2,0)," ")</f>
        <v>Servicio de formación en gestión del riesgo de incendios para el personal UAECOB</v>
      </c>
      <c r="Z666" s="180" t="str">
        <f>CONCATENATE(X666,"-",Y666)</f>
        <v>07-Servicio de formación en gestión del riesgo de incendios para el personal UAECOB</v>
      </c>
      <c r="AA666" s="174" t="s">
        <v>222</v>
      </c>
      <c r="AB666" s="167" t="str">
        <f>IFERROR(VLOOKUP(AA666,TD!$N$55:$O$70,2,0)," ")</f>
        <v>Servicio de educación informal</v>
      </c>
      <c r="AC666" s="168" t="str">
        <f>CONCATENATE(AA666,"_",AB666)</f>
        <v>002_Servicio de educación informal</v>
      </c>
      <c r="AD666" s="168" t="str">
        <f>CONCATENATE(Z666," ",AC666)</f>
        <v>07-Servicio de formación en gestión del riesgo de incendios para el personal UAECOB 002_Servicio de educación informal</v>
      </c>
      <c r="AE666" s="167" t="str">
        <f>CONCATENATE(U666,V666,W666,X666,AA666)</f>
        <v>O23011745032024025507002</v>
      </c>
      <c r="AF666" s="167" t="str">
        <f>IFERROR(VLOOKUP(AD666,TD!$J$70:$K$93,2,0)," ")</f>
        <v>PM/0131/0107/45030020255</v>
      </c>
      <c r="AG666" s="130" t="s">
        <v>385</v>
      </c>
      <c r="AH666" s="175" t="s">
        <v>194</v>
      </c>
      <c r="AI666" s="184" t="str">
        <f>CONCATENATE(PAA[[#This Row],[Id Interno]],"-",PAA[[#This Row],[tipo de Contrato (TH talento humano - B/S bienes y/o servicios)]],"-",S666,"-",T666,"-",PAA[[#This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67" spans="2:35" ht="98" x14ac:dyDescent="0.35">
      <c r="B667" s="23">
        <v>20260661</v>
      </c>
      <c r="C667" s="97" t="s">
        <v>938</v>
      </c>
      <c r="D667" s="23" t="s">
        <v>100</v>
      </c>
      <c r="E667" s="23" t="s">
        <v>402</v>
      </c>
      <c r="F667" s="23" t="s">
        <v>89</v>
      </c>
      <c r="G667" s="124" t="s">
        <v>377</v>
      </c>
      <c r="H667" s="131">
        <v>24</v>
      </c>
      <c r="I667" s="131">
        <v>0</v>
      </c>
      <c r="J667" s="122">
        <v>0</v>
      </c>
      <c r="K667" s="88" t="s">
        <v>398</v>
      </c>
      <c r="L667" s="163" t="s">
        <v>154</v>
      </c>
      <c r="M667" s="166" t="s">
        <v>438</v>
      </c>
      <c r="N667" s="23" t="s">
        <v>335</v>
      </c>
      <c r="O667" s="166" t="s">
        <v>886</v>
      </c>
      <c r="P667" s="166" t="s">
        <v>335</v>
      </c>
      <c r="Q667" s="53">
        <v>84131605</v>
      </c>
      <c r="R667" s="166" t="s">
        <v>331</v>
      </c>
      <c r="S667" s="166" t="str">
        <f>MID(PAA[[#This Row],[Meta Proyecto de Inversión]],1,4)</f>
        <v>No a</v>
      </c>
      <c r="T667" s="166" t="str">
        <f>MID(PAA[[#This Row],[Meta Proyecto de Inversión]],6,2)</f>
        <v>li</v>
      </c>
      <c r="U667" s="167" t="str">
        <f>IFERROR(VLOOKUP(N667,TD!$B$54:$F$58,2,0)," ")</f>
        <v xml:space="preserve"> </v>
      </c>
      <c r="V667" s="167" t="str">
        <f>IFERROR(VLOOKUP(N667,TD!$B$54:$F$58,3,0)," ")</f>
        <v xml:space="preserve"> </v>
      </c>
      <c r="W667" s="167" t="str">
        <f>IFERROR(VLOOKUP(N667,TD!$B$54:$F$58,4,0)," ")</f>
        <v xml:space="preserve"> </v>
      </c>
      <c r="X667" s="174" t="s">
        <v>335</v>
      </c>
      <c r="Y667" s="167" t="str">
        <f>IFERROR(VLOOKUP(X667,TD!$J$55:$K$68,2,0)," ")</f>
        <v>N/A</v>
      </c>
      <c r="Z667" s="180" t="str">
        <f>CONCATENATE(X667,"-",Y667)</f>
        <v>N/A-N/A</v>
      </c>
      <c r="AA667" s="174" t="s">
        <v>335</v>
      </c>
      <c r="AB667" s="167" t="str">
        <f>IFERROR(VLOOKUP(AA667,TD!$N$55:$O$70,2,0)," ")</f>
        <v>N/A</v>
      </c>
      <c r="AC667" s="168" t="str">
        <f>CONCATENATE(AA667,"_",AB667)</f>
        <v>N/A_N/A</v>
      </c>
      <c r="AD667" s="168" t="str">
        <f>CONCATENATE(Z667," ",AC667)</f>
        <v>N/A-N/A N/A_N/A</v>
      </c>
      <c r="AE667" s="167" t="str">
        <f>CONCATENATE(U667,V667,W667,X667,AA667)</f>
        <v xml:space="preserve">   N/AN/A</v>
      </c>
      <c r="AF667" s="167" t="str">
        <f>IFERROR(VLOOKUP(AD667,TD!$J$70:$K$93,2,0)," ")</f>
        <v>N/A</v>
      </c>
      <c r="AG667" s="130" t="s">
        <v>332</v>
      </c>
      <c r="AH667" s="175" t="s">
        <v>194</v>
      </c>
      <c r="AI667" s="184" t="str">
        <f>CONCATENATE(PAA[[#This Row],[Id Interno]],"-",PAA[[#This Row],[tipo de Contrato (TH talento humano - B/S bienes y/o servicios)]],"-",S667,"-",T667,"-",PAA[[#This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68" spans="2:35" ht="98" x14ac:dyDescent="0.35">
      <c r="B668" s="23">
        <v>20260663</v>
      </c>
      <c r="C668" s="97" t="s">
        <v>940</v>
      </c>
      <c r="D668" s="23" t="s">
        <v>105</v>
      </c>
      <c r="E668" s="23" t="s">
        <v>363</v>
      </c>
      <c r="F668" s="23" t="s">
        <v>145</v>
      </c>
      <c r="G668" s="124" t="s">
        <v>375</v>
      </c>
      <c r="H668" s="131">
        <v>1</v>
      </c>
      <c r="I668" s="131">
        <v>15</v>
      </c>
      <c r="J668" s="122">
        <v>5100000</v>
      </c>
      <c r="K668" s="88" t="s">
        <v>398</v>
      </c>
      <c r="L668" s="163" t="s">
        <v>153</v>
      </c>
      <c r="M668" s="166" t="s">
        <v>420</v>
      </c>
      <c r="N668" s="23" t="s">
        <v>197</v>
      </c>
      <c r="O668" s="166" t="s">
        <v>886</v>
      </c>
      <c r="P668" s="166" t="s">
        <v>348</v>
      </c>
      <c r="Q668" s="53">
        <v>80111600</v>
      </c>
      <c r="R668" s="166" t="s">
        <v>208</v>
      </c>
      <c r="S668" s="166" t="str">
        <f>MID(PAA[[#This Row],[Meta Proyecto de Inversión]],1,4)</f>
        <v>8126</v>
      </c>
      <c r="T668" s="166" t="str">
        <f>MID(PAA[[#This Row],[Meta Proyecto de Inversión]],6,2)</f>
        <v>9-</v>
      </c>
      <c r="U668" s="167" t="str">
        <f>IFERROR(VLOOKUP(N668,TD!$B$54:$F$58,2,0)," ")</f>
        <v>O230117</v>
      </c>
      <c r="V668" s="167" t="str">
        <f>IFERROR(VLOOKUP(N668,TD!$B$54:$F$58,3,0)," ")</f>
        <v>4599</v>
      </c>
      <c r="W668" s="167">
        <f>IFERROR(VLOOKUP(N668,TD!$B$54:$F$58,4,0)," ")</f>
        <v>20240207</v>
      </c>
      <c r="X668" s="174" t="s">
        <v>174</v>
      </c>
      <c r="Y668" s="167" t="str">
        <f>IFERROR(VLOOKUP(X668,TD!$J$55:$K$68,2,0)," ")</f>
        <v>Infraestructura física, mantenimiento y dotación (Sedes construidas, mantenidas reforzadas)</v>
      </c>
      <c r="Z668" s="180" t="str">
        <f>CONCATENATE(X668,"-",Y668)</f>
        <v>08-Infraestructura física, mantenimiento y dotación (Sedes construidas, mantenidas reforzadas)</v>
      </c>
      <c r="AA668" s="174" t="s">
        <v>227</v>
      </c>
      <c r="AB668" s="167" t="str">
        <f>IFERROR(VLOOKUP(AA668,TD!$N$55:$O$70,2,0)," ")</f>
        <v>Sedes mantenidas</v>
      </c>
      <c r="AC668" s="168" t="str">
        <f>CONCATENATE(AA668,"_",AB668)</f>
        <v>016_Sedes mantenidas</v>
      </c>
      <c r="AD668" s="168" t="str">
        <f>CONCATENATE(Z668," ",AC668)</f>
        <v>08-Infraestructura física, mantenimiento y dotación (Sedes construidas, mantenidas reforzadas) 016_Sedes mantenidas</v>
      </c>
      <c r="AE668" s="167" t="str">
        <f>CONCATENATE(U668,V668,W668,X668,AA668)</f>
        <v>O23011745992024020708016</v>
      </c>
      <c r="AF668" s="167" t="str">
        <f>IFERROR(VLOOKUP(AD668,TD!$J$70:$K$93,2,0)," ")</f>
        <v>PM/0131/0108/45990160207</v>
      </c>
      <c r="AG668" s="130" t="s">
        <v>385</v>
      </c>
      <c r="AH668" s="175" t="s">
        <v>194</v>
      </c>
      <c r="AI668" s="184" t="str">
        <f>CONCATENATE(PAA[[#This Row],[Id Interno]],"-",PAA[[#This Row],[tipo de Contrato (TH talento humano - B/S bienes y/o servicios)]],"-",S668,"-",T668,"-",PAA[[#This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69" spans="2:35" ht="56" x14ac:dyDescent="0.35">
      <c r="B669" s="23">
        <v>20260664</v>
      </c>
      <c r="C669" s="97" t="s">
        <v>941</v>
      </c>
      <c r="D669" s="23" t="s">
        <v>105</v>
      </c>
      <c r="E669" s="23" t="s">
        <v>363</v>
      </c>
      <c r="F669" s="23" t="s">
        <v>144</v>
      </c>
      <c r="G669" s="124" t="s">
        <v>375</v>
      </c>
      <c r="H669" s="131">
        <v>1</v>
      </c>
      <c r="I669" s="131">
        <v>15</v>
      </c>
      <c r="J669" s="122">
        <v>16500000</v>
      </c>
      <c r="K669" s="88" t="s">
        <v>398</v>
      </c>
      <c r="L669" s="163" t="s">
        <v>153</v>
      </c>
      <c r="M669" s="166" t="s">
        <v>420</v>
      </c>
      <c r="N669" s="23" t="s">
        <v>197</v>
      </c>
      <c r="O669" s="166" t="s">
        <v>886</v>
      </c>
      <c r="P669" s="166" t="s">
        <v>348</v>
      </c>
      <c r="Q669" s="53">
        <v>80111600</v>
      </c>
      <c r="R669" s="166" t="s">
        <v>208</v>
      </c>
      <c r="S669" s="166" t="str">
        <f>MID(PAA[[#This Row],[Meta Proyecto de Inversión]],1,4)</f>
        <v>8126</v>
      </c>
      <c r="T669" s="166" t="str">
        <f>MID(PAA[[#This Row],[Meta Proyecto de Inversión]],6,2)</f>
        <v>9-</v>
      </c>
      <c r="U669" s="167" t="str">
        <f>IFERROR(VLOOKUP(N669,TD!$B$54:$F$58,2,0)," ")</f>
        <v>O230117</v>
      </c>
      <c r="V669" s="167" t="str">
        <f>IFERROR(VLOOKUP(N669,TD!$B$54:$F$58,3,0)," ")</f>
        <v>4599</v>
      </c>
      <c r="W669" s="167">
        <f>IFERROR(VLOOKUP(N669,TD!$B$54:$F$58,4,0)," ")</f>
        <v>20240207</v>
      </c>
      <c r="X669" s="174" t="s">
        <v>174</v>
      </c>
      <c r="Y669" s="167" t="str">
        <f>IFERROR(VLOOKUP(X669,TD!$J$55:$K$68,2,0)," ")</f>
        <v>Infraestructura física, mantenimiento y dotación (Sedes construidas, mantenidas reforzadas)</v>
      </c>
      <c r="Z669" s="180" t="str">
        <f>CONCATENATE(X669,"-",Y669)</f>
        <v>08-Infraestructura física, mantenimiento y dotación (Sedes construidas, mantenidas reforzadas)</v>
      </c>
      <c r="AA669" s="174" t="s">
        <v>227</v>
      </c>
      <c r="AB669" s="167" t="str">
        <f>IFERROR(VLOOKUP(AA669,TD!$N$55:$O$70,2,0)," ")</f>
        <v>Sedes mantenidas</v>
      </c>
      <c r="AC669" s="168" t="str">
        <f>CONCATENATE(AA669,"_",AB669)</f>
        <v>016_Sedes mantenidas</v>
      </c>
      <c r="AD669" s="168" t="str">
        <f>CONCATENATE(Z669," ",AC669)</f>
        <v>08-Infraestructura física, mantenimiento y dotación (Sedes construidas, mantenidas reforzadas) 016_Sedes mantenidas</v>
      </c>
      <c r="AE669" s="167" t="str">
        <f>CONCATENATE(U669,V669,W669,X669,AA669)</f>
        <v>O23011745992024020708016</v>
      </c>
      <c r="AF669" s="167" t="str">
        <f>IFERROR(VLOOKUP(AD669,TD!$J$70:$K$93,2,0)," ")</f>
        <v>PM/0131/0108/45990160207</v>
      </c>
      <c r="AG669" s="130" t="s">
        <v>385</v>
      </c>
      <c r="AH669" s="175" t="s">
        <v>194</v>
      </c>
      <c r="AI669" s="184" t="str">
        <f>CONCATENATE(PAA[[#This Row],[Id Interno]],"-",PAA[[#This Row],[tipo de Contrato (TH talento humano - B/S bienes y/o servicios)]],"-",S669,"-",T669,"-",PAA[[#This Row],[Objeto de la contratación]])</f>
        <v>20260664-TH-8126-9--Adición y prórroga al contrato 702 de 2025 cuyo objeto es: "Prestar los servicios profesionales jurídicos especializados para apoyar el desarrollo de las funciones de la Oficina Jurídica"</v>
      </c>
    </row>
    <row r="670" spans="2:35" ht="56" x14ac:dyDescent="0.35">
      <c r="B670" s="23">
        <v>20260665</v>
      </c>
      <c r="C670" s="97" t="s">
        <v>948</v>
      </c>
      <c r="D670" s="23" t="s">
        <v>105</v>
      </c>
      <c r="E670" s="23" t="s">
        <v>363</v>
      </c>
      <c r="F670" s="23" t="s">
        <v>144</v>
      </c>
      <c r="G670" s="124" t="s">
        <v>377</v>
      </c>
      <c r="H670" s="131">
        <v>2</v>
      </c>
      <c r="I670" s="131">
        <v>0</v>
      </c>
      <c r="J670" s="122">
        <v>6800000</v>
      </c>
      <c r="K670" s="88" t="s">
        <v>398</v>
      </c>
      <c r="L670" s="163" t="s">
        <v>153</v>
      </c>
      <c r="M670" s="166" t="s">
        <v>420</v>
      </c>
      <c r="N670" s="23" t="s">
        <v>197</v>
      </c>
      <c r="O670" s="166" t="s">
        <v>886</v>
      </c>
      <c r="P670" s="166" t="s">
        <v>348</v>
      </c>
      <c r="Q670" s="53">
        <v>80111600</v>
      </c>
      <c r="R670" s="166" t="s">
        <v>208</v>
      </c>
      <c r="S670" s="166" t="str">
        <f>MID(PAA[[#This Row],[Meta Proyecto de Inversión]],1,4)</f>
        <v>8126</v>
      </c>
      <c r="T670" s="166" t="str">
        <f>MID(PAA[[#This Row],[Meta Proyecto de Inversión]],6,2)</f>
        <v>9-</v>
      </c>
      <c r="U670" s="167" t="str">
        <f>IFERROR(VLOOKUP(N670,TD!$B$54:$F$58,2,0)," ")</f>
        <v>O230117</v>
      </c>
      <c r="V670" s="167" t="str">
        <f>IFERROR(VLOOKUP(N670,TD!$B$54:$F$58,3,0)," ")</f>
        <v>4599</v>
      </c>
      <c r="W670" s="167">
        <f>IFERROR(VLOOKUP(N670,TD!$B$54:$F$58,4,0)," ")</f>
        <v>20240207</v>
      </c>
      <c r="X670" s="174" t="s">
        <v>174</v>
      </c>
      <c r="Y670" s="167" t="str">
        <f>IFERROR(VLOOKUP(X670,TD!$J$55:$K$68,2,0)," ")</f>
        <v>Infraestructura física, mantenimiento y dotación (Sedes construidas, mantenidas reforzadas)</v>
      </c>
      <c r="Z670" s="180" t="str">
        <f>CONCATENATE(X670,"-",Y670)</f>
        <v>08-Infraestructura física, mantenimiento y dotación (Sedes construidas, mantenidas reforzadas)</v>
      </c>
      <c r="AA670" s="174" t="s">
        <v>227</v>
      </c>
      <c r="AB670" s="167" t="str">
        <f>IFERROR(VLOOKUP(AA670,TD!$N$55:$O$70,2,0)," ")</f>
        <v>Sedes mantenidas</v>
      </c>
      <c r="AC670" s="168" t="str">
        <f>CONCATENATE(AA670,"_",AB670)</f>
        <v>016_Sedes mantenidas</v>
      </c>
      <c r="AD670" s="168" t="str">
        <f>CONCATENATE(Z670," ",AC670)</f>
        <v>08-Infraestructura física, mantenimiento y dotación (Sedes construidas, mantenidas reforzadas) 016_Sedes mantenidas</v>
      </c>
      <c r="AE670" s="167" t="str">
        <f>CONCATENATE(U670,V670,W670,X670,AA670)</f>
        <v>O23011745992024020708016</v>
      </c>
      <c r="AF670" s="167" t="str">
        <f>IFERROR(VLOOKUP(AD670,TD!$J$70:$K$93,2,0)," ")</f>
        <v>PM/0131/0108/45990160207</v>
      </c>
      <c r="AG670" s="130" t="s">
        <v>385</v>
      </c>
      <c r="AH670" s="175" t="s">
        <v>194</v>
      </c>
      <c r="AI670" s="184" t="str">
        <f>CONCATENATE(PAA[[#This Row],[Id Interno]],"-",PAA[[#This Row],[tipo de Contrato (TH talento humano - B/S bienes y/o servicios)]],"-",S670,"-",T670,"-",PAA[[#This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71" spans="2:35" ht="70" x14ac:dyDescent="0.35">
      <c r="B671" s="23">
        <v>20260666</v>
      </c>
      <c r="C671" s="97" t="s">
        <v>949</v>
      </c>
      <c r="D671" s="23" t="s">
        <v>105</v>
      </c>
      <c r="E671" s="23" t="s">
        <v>363</v>
      </c>
      <c r="F671" s="23" t="s">
        <v>145</v>
      </c>
      <c r="G671" s="124" t="s">
        <v>376</v>
      </c>
      <c r="H671" s="131">
        <v>2</v>
      </c>
      <c r="I671" s="131">
        <v>0</v>
      </c>
      <c r="J671" s="122">
        <v>12400000</v>
      </c>
      <c r="K671" s="88" t="s">
        <v>398</v>
      </c>
      <c r="L671" s="163" t="s">
        <v>153</v>
      </c>
      <c r="M671" s="166" t="s">
        <v>420</v>
      </c>
      <c r="N671" s="23" t="s">
        <v>197</v>
      </c>
      <c r="O671" s="166" t="s">
        <v>886</v>
      </c>
      <c r="P671" s="166" t="s">
        <v>348</v>
      </c>
      <c r="Q671" s="53">
        <v>80111600</v>
      </c>
      <c r="R671" s="166" t="s">
        <v>208</v>
      </c>
      <c r="S671" s="166" t="str">
        <f>MID(PAA[[#This Row],[Meta Proyecto de Inversión]],1,4)</f>
        <v>8126</v>
      </c>
      <c r="T671" s="166" t="str">
        <f>MID(PAA[[#This Row],[Meta Proyecto de Inversión]],6,2)</f>
        <v>9-</v>
      </c>
      <c r="U671" s="167" t="str">
        <f>IFERROR(VLOOKUP(N671,TD!$B$54:$F$58,2,0)," ")</f>
        <v>O230117</v>
      </c>
      <c r="V671" s="167" t="str">
        <f>IFERROR(VLOOKUP(N671,TD!$B$54:$F$58,3,0)," ")</f>
        <v>4599</v>
      </c>
      <c r="W671" s="167">
        <f>IFERROR(VLOOKUP(N671,TD!$B$54:$F$58,4,0)," ")</f>
        <v>20240207</v>
      </c>
      <c r="X671" s="174" t="s">
        <v>174</v>
      </c>
      <c r="Y671" s="167" t="str">
        <f>IFERROR(VLOOKUP(X671,TD!$J$55:$K$68,2,0)," ")</f>
        <v>Infraestructura física, mantenimiento y dotación (Sedes construidas, mantenidas reforzadas)</v>
      </c>
      <c r="Z671" s="180" t="str">
        <f>CONCATENATE(X671,"-",Y671)</f>
        <v>08-Infraestructura física, mantenimiento y dotación (Sedes construidas, mantenidas reforzadas)</v>
      </c>
      <c r="AA671" s="174" t="s">
        <v>227</v>
      </c>
      <c r="AB671" s="167" t="str">
        <f>IFERROR(VLOOKUP(AA671,TD!$N$55:$O$70,2,0)," ")</f>
        <v>Sedes mantenidas</v>
      </c>
      <c r="AC671" s="168" t="str">
        <f>CONCATENATE(AA671,"_",AB671)</f>
        <v>016_Sedes mantenidas</v>
      </c>
      <c r="AD671" s="168" t="str">
        <f>CONCATENATE(Z671," ",AC671)</f>
        <v>08-Infraestructura física, mantenimiento y dotación (Sedes construidas, mantenidas reforzadas) 016_Sedes mantenidas</v>
      </c>
      <c r="AE671" s="167" t="str">
        <f>CONCATENATE(U671,V671,W671,X671,AA671)</f>
        <v>O23011745992024020708016</v>
      </c>
      <c r="AF671" s="167" t="str">
        <f>IFERROR(VLOOKUP(AD671,TD!$J$70:$K$93,2,0)," ")</f>
        <v>PM/0131/0108/45990160207</v>
      </c>
      <c r="AG671" s="130" t="s">
        <v>385</v>
      </c>
      <c r="AH671" s="175" t="s">
        <v>194</v>
      </c>
      <c r="AI671" s="184" t="str">
        <f>CONCATENATE(PAA[[#This Row],[Id Interno]],"-",PAA[[#This Row],[tipo de Contrato (TH talento humano - B/S bienes y/o servicios)]],"-",S671,"-",T671,"-",PAA[[#This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72" spans="2:35" ht="70" x14ac:dyDescent="0.35">
      <c r="B672" s="97">
        <v>20260667</v>
      </c>
      <c r="C672" s="97" t="s">
        <v>942</v>
      </c>
      <c r="D672" s="97" t="s">
        <v>105</v>
      </c>
      <c r="E672" s="97" t="s">
        <v>402</v>
      </c>
      <c r="F672" s="97" t="s">
        <v>143</v>
      </c>
      <c r="G672" s="124" t="s">
        <v>376</v>
      </c>
      <c r="H672" s="150">
        <v>2</v>
      </c>
      <c r="I672" s="150">
        <v>26</v>
      </c>
      <c r="J672" s="114">
        <v>57246059</v>
      </c>
      <c r="K672" s="121" t="s">
        <v>398</v>
      </c>
      <c r="L672" s="164" t="s">
        <v>151</v>
      </c>
      <c r="M672" s="171" t="s">
        <v>401</v>
      </c>
      <c r="N672" s="97" t="s">
        <v>330</v>
      </c>
      <c r="O672" s="171" t="s">
        <v>886</v>
      </c>
      <c r="P672" s="171" t="s">
        <v>161</v>
      </c>
      <c r="Q672" s="123">
        <v>80111600</v>
      </c>
      <c r="R672" s="171" t="s">
        <v>331</v>
      </c>
      <c r="S672" s="166" t="str">
        <f>MID(PAA[[#This Row],[Meta Proyecto de Inversión]],1,4)</f>
        <v>No a</v>
      </c>
      <c r="T672" s="166" t="str">
        <f>MID(PAA[[#This Row],[Meta Proyecto de Inversión]],6,2)</f>
        <v>li</v>
      </c>
      <c r="U672" s="172" t="str">
        <f>IFERROR(VLOOKUP(N672,TD!$B$54:$F$58,2,0)," ")</f>
        <v>NA</v>
      </c>
      <c r="V672" s="172" t="str">
        <f>IFERROR(VLOOKUP(N672,TD!$B$54:$F$58,3,0)," ")</f>
        <v>NA</v>
      </c>
      <c r="W672" s="172" t="str">
        <f>IFERROR(VLOOKUP(N672,TD!$B$54:$F$58,4,0)," ")</f>
        <v>NA</v>
      </c>
      <c r="X672" s="186" t="s">
        <v>335</v>
      </c>
      <c r="Y672" s="172" t="str">
        <f>IFERROR(VLOOKUP(X672,TD!$J$55:$K$68,2,0)," ")</f>
        <v>N/A</v>
      </c>
      <c r="Z672" s="180" t="str">
        <f>CONCATENATE(X672,"-",Y672)</f>
        <v>N/A-N/A</v>
      </c>
      <c r="AA672" s="186" t="s">
        <v>335</v>
      </c>
      <c r="AB672" s="172" t="str">
        <f>IFERROR(VLOOKUP(AA672,TD!$N$55:$O$70,2,0)," ")</f>
        <v>N/A</v>
      </c>
      <c r="AC672" s="168" t="str">
        <f>CONCATENATE(AA672,"_",AB672)</f>
        <v>N/A_N/A</v>
      </c>
      <c r="AD672" s="168" t="str">
        <f>CONCATENATE(Z672," ",AC672)</f>
        <v>N/A-N/A N/A_N/A</v>
      </c>
      <c r="AE672" s="172" t="str">
        <f>CONCATENATE(U672,V672,W672,X672,AA672)</f>
        <v>NANANAN/AN/A</v>
      </c>
      <c r="AF672" s="172" t="str">
        <f>IFERROR(VLOOKUP(AD672,TD!$J$70:$K$93,2,0)," ")</f>
        <v>N/A</v>
      </c>
      <c r="AG672" s="130" t="s">
        <v>332</v>
      </c>
      <c r="AH672" s="182" t="s">
        <v>194</v>
      </c>
      <c r="AI672" s="184" t="str">
        <f>CONCATENATE(PAA[[#This Row],[Id Interno]],"-",PAA[[#This Row],[tipo de Contrato (TH talento humano - B/S bienes y/o servicios)]],"-",S672,"-",T672,"-",PAA[[#This Row],[Objeto de la contratación]])</f>
        <v>20260667-BS-No a-li-Adición y prórroga al Contrato No. 363-2025 cuyo objeto es: Contratar los servicios de canales de datos dedicados para la UAE Cuerpo Oficial de Bomberos de Bogotá – TIC</v>
      </c>
    </row>
    <row r="673" spans="2:35" ht="42" x14ac:dyDescent="0.35">
      <c r="B673" s="97">
        <v>20260668</v>
      </c>
      <c r="C673" s="97" t="s">
        <v>943</v>
      </c>
      <c r="D673" s="97" t="s">
        <v>78</v>
      </c>
      <c r="E673" s="97" t="s">
        <v>402</v>
      </c>
      <c r="F673" s="97" t="s">
        <v>101</v>
      </c>
      <c r="G673" s="124" t="s">
        <v>375</v>
      </c>
      <c r="H673" s="150">
        <v>12</v>
      </c>
      <c r="I673" s="150">
        <v>0</v>
      </c>
      <c r="J673" s="114">
        <v>1166406100</v>
      </c>
      <c r="K673" s="121" t="s">
        <v>398</v>
      </c>
      <c r="L673" s="164" t="s">
        <v>151</v>
      </c>
      <c r="M673" s="171" t="s">
        <v>401</v>
      </c>
      <c r="N673" s="97" t="s">
        <v>197</v>
      </c>
      <c r="O673" s="171" t="s">
        <v>886</v>
      </c>
      <c r="P673" s="171" t="s">
        <v>348</v>
      </c>
      <c r="Q673" s="123" t="s">
        <v>944</v>
      </c>
      <c r="R673" s="171" t="s">
        <v>206</v>
      </c>
      <c r="S673" s="166" t="str">
        <f>MID(PAA[[#This Row],[Meta Proyecto de Inversión]],1,4)</f>
        <v>8126</v>
      </c>
      <c r="T673" s="166" t="str">
        <f>MID(PAA[[#This Row],[Meta Proyecto de Inversión]],6,2)</f>
        <v>7-</v>
      </c>
      <c r="U673" s="172" t="str">
        <f>IFERROR(VLOOKUP(N673,TD!$B$54:$F$58,2,0)," ")</f>
        <v>O230117</v>
      </c>
      <c r="V673" s="172" t="str">
        <f>IFERROR(VLOOKUP(N673,TD!$B$54:$F$58,3,0)," ")</f>
        <v>4599</v>
      </c>
      <c r="W673" s="172">
        <f>IFERROR(VLOOKUP(N673,TD!$B$54:$F$58,4,0)," ")</f>
        <v>20240207</v>
      </c>
      <c r="X673" s="186" t="s">
        <v>168</v>
      </c>
      <c r="Y673" s="172" t="str">
        <f>IFERROR(VLOOKUP(X673,TD!$J$55:$K$68,2,0)," ")</f>
        <v>Infraestructura Tecnológica   (Sistemas de Información y Tecnologia)</v>
      </c>
      <c r="Z673" s="180" t="str">
        <f>CONCATENATE(X673,"-",Y673)</f>
        <v>11-Infraestructura Tecnológica   (Sistemas de Información y Tecnologia)</v>
      </c>
      <c r="AA673" s="186" t="s">
        <v>228</v>
      </c>
      <c r="AB673" s="172" t="str">
        <f>IFERROR(VLOOKUP(AA673,TD!$N$55:$O$70,2,0)," ")</f>
        <v>Servicios tecnológicos</v>
      </c>
      <c r="AC673" s="168" t="str">
        <f>CONCATENATE(AA673,"_",AB673)</f>
        <v>007_Servicios tecnológicos</v>
      </c>
      <c r="AD673" s="168" t="str">
        <f>CONCATENATE(Z673," ",AC673)</f>
        <v>11-Infraestructura Tecnológica   (Sistemas de Información y Tecnologia) 007_Servicios tecnológicos</v>
      </c>
      <c r="AE673" s="172" t="str">
        <f>CONCATENATE(U673,V673,W673,X673,AA673)</f>
        <v>O23011745992024020711007</v>
      </c>
      <c r="AF673" s="172" t="str">
        <f>IFERROR(VLOOKUP(AD673,TD!$J$70:$K$93,2,0)," ")</f>
        <v>PM/0131/0111/45990070207</v>
      </c>
      <c r="AG673" s="130" t="s">
        <v>116</v>
      </c>
      <c r="AH673" s="182" t="s">
        <v>193</v>
      </c>
      <c r="AI673" s="184" t="str">
        <f>CONCATENATE(PAA[[#This Row],[Id Interno]],"-",PAA[[#This Row],[tipo de Contrato (TH talento humano - B/S bienes y/o servicios)]],"-",S673,"-",T673,"-",PAA[[#This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74" spans="2:35" ht="168" x14ac:dyDescent="0.35">
      <c r="B674" s="23">
        <v>20260669</v>
      </c>
      <c r="C674" s="97" t="s">
        <v>945</v>
      </c>
      <c r="D674" s="23" t="s">
        <v>119</v>
      </c>
      <c r="E674" s="23" t="s">
        <v>402</v>
      </c>
      <c r="F674" s="23" t="s">
        <v>89</v>
      </c>
      <c r="G674" s="124" t="s">
        <v>375</v>
      </c>
      <c r="H674" s="131">
        <v>1</v>
      </c>
      <c r="I674" s="131">
        <v>0</v>
      </c>
      <c r="J674" s="122">
        <v>3212500</v>
      </c>
      <c r="K674" s="88" t="s">
        <v>398</v>
      </c>
      <c r="L674" s="163" t="s">
        <v>151</v>
      </c>
      <c r="M674" s="166" t="s">
        <v>401</v>
      </c>
      <c r="N674" s="23" t="s">
        <v>197</v>
      </c>
      <c r="O674" s="166" t="s">
        <v>886</v>
      </c>
      <c r="P674" s="166" t="s">
        <v>162</v>
      </c>
      <c r="Q674" s="53" t="s">
        <v>335</v>
      </c>
      <c r="R674" s="166" t="s">
        <v>204</v>
      </c>
      <c r="S674" s="166" t="str">
        <f>MID(PAA[[#This Row],[Meta Proyecto de Inversión]],1,4)</f>
        <v>8126</v>
      </c>
      <c r="T674" s="166" t="str">
        <f>MID(PAA[[#This Row],[Meta Proyecto de Inversión]],6,2)</f>
        <v>5-</v>
      </c>
      <c r="U674" s="167" t="str">
        <f>IFERROR(VLOOKUP(N674,TD!$B$54:$F$58,2,0)," ")</f>
        <v>O230117</v>
      </c>
      <c r="V674" s="167" t="str">
        <f>IFERROR(VLOOKUP(N674,TD!$B$54:$F$58,3,0)," ")</f>
        <v>4599</v>
      </c>
      <c r="W674" s="167">
        <f>IFERROR(VLOOKUP(N674,TD!$B$54:$F$58,4,0)," ")</f>
        <v>20240207</v>
      </c>
      <c r="X674" s="174" t="s">
        <v>168</v>
      </c>
      <c r="Y674" s="167" t="str">
        <f>IFERROR(VLOOKUP(X674,TD!$J$55:$K$68,2,0)," ")</f>
        <v>Infraestructura Tecnológica   (Sistemas de Información y Tecnologia)</v>
      </c>
      <c r="Z674" s="180" t="str">
        <f>CONCATENATE(X674,"-",Y674)</f>
        <v>11-Infraestructura Tecnológica   (Sistemas de Información y Tecnologia)</v>
      </c>
      <c r="AA674" s="174" t="s">
        <v>228</v>
      </c>
      <c r="AB674" s="167" t="str">
        <f>IFERROR(VLOOKUP(AA674,TD!$N$55:$O$70,2,0)," ")</f>
        <v>Servicios tecnológicos</v>
      </c>
      <c r="AC674" s="168" t="str">
        <f>CONCATENATE(AA674,"_",AB674)</f>
        <v>007_Servicios tecnológicos</v>
      </c>
      <c r="AD674" s="168" t="str">
        <f>CONCATENATE(Z674," ",AC674)</f>
        <v>11-Infraestructura Tecnológica   (Sistemas de Información y Tecnologia) 007_Servicios tecnológicos</v>
      </c>
      <c r="AE674" s="167" t="str">
        <f>CONCATENATE(U674,V674,W674,X674,AA674)</f>
        <v>O23011745992024020711007</v>
      </c>
      <c r="AF674" s="167" t="str">
        <f>IFERROR(VLOOKUP(AD674,TD!$J$70:$K$93,2,0)," ")</f>
        <v>PM/0131/0111/45990070207</v>
      </c>
      <c r="AG674" s="130" t="s">
        <v>385</v>
      </c>
      <c r="AH674" s="175" t="s">
        <v>194</v>
      </c>
      <c r="AI674" s="184" t="str">
        <f>CONCATENATE(PAA[[#This Row],[Id Interno]],"-",PAA[[#This Row],[tipo de Contrato (TH talento humano - B/S bienes y/o servicios)]],"-",S674,"-",T674,"-",PAA[[#This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75" spans="2:35" ht="56" x14ac:dyDescent="0.35">
      <c r="B675" s="97">
        <v>20260670</v>
      </c>
      <c r="C675" s="97" t="s">
        <v>950</v>
      </c>
      <c r="D675" s="97" t="s">
        <v>88</v>
      </c>
      <c r="E675" s="97" t="s">
        <v>402</v>
      </c>
      <c r="F675" s="97" t="s">
        <v>101</v>
      </c>
      <c r="G675" s="124" t="s">
        <v>375</v>
      </c>
      <c r="H675" s="150">
        <v>0</v>
      </c>
      <c r="I675" s="150">
        <v>0</v>
      </c>
      <c r="J675" s="114">
        <v>628000</v>
      </c>
      <c r="K675" s="121" t="s">
        <v>398</v>
      </c>
      <c r="L675" s="164" t="s">
        <v>155</v>
      </c>
      <c r="M675" s="171" t="s">
        <v>422</v>
      </c>
      <c r="N675" s="97" t="s">
        <v>198</v>
      </c>
      <c r="O675" s="171" t="s">
        <v>887</v>
      </c>
      <c r="P675" s="171" t="s">
        <v>348</v>
      </c>
      <c r="Q675" s="123" t="s">
        <v>951</v>
      </c>
      <c r="R675" s="171" t="s">
        <v>351</v>
      </c>
      <c r="S675" s="166" t="str">
        <f>MID(PAA[[#This Row],[Meta Proyecto de Inversión]],1,4)</f>
        <v>8173</v>
      </c>
      <c r="T675" s="166" t="str">
        <f>MID(PAA[[#This Row],[Meta Proyecto de Inversión]],6,2)</f>
        <v>11</v>
      </c>
      <c r="U675" s="172" t="str">
        <f>IFERROR(VLOOKUP(N675,TD!$B$54:$F$58,2,0)," ")</f>
        <v>O230117</v>
      </c>
      <c r="V675" s="172" t="str">
        <f>IFERROR(VLOOKUP(N675,TD!$B$54:$F$58,3,0)," ")</f>
        <v>4503</v>
      </c>
      <c r="W675" s="172">
        <f>IFERROR(VLOOKUP(N675,TD!$B$54:$F$58,4,0)," ")</f>
        <v>20240255</v>
      </c>
      <c r="X675" s="186">
        <v>14</v>
      </c>
      <c r="Y675" s="172" t="str">
        <f>IFERROR(VLOOKUP(X675,TD!$J$55:$K$68,2,0)," ")</f>
        <v xml:space="preserve">Infraestructura física misional construida mantenida y dotada </v>
      </c>
      <c r="Z675" s="180" t="str">
        <f>CONCATENATE(X675,"-",Y675)</f>
        <v xml:space="preserve">14-Infraestructura física misional construida mantenida y dotada </v>
      </c>
      <c r="AA675" s="186" t="s">
        <v>225</v>
      </c>
      <c r="AB675" s="172" t="str">
        <f>IFERROR(VLOOKUP(AA675,TD!$N$55:$O$70,2,0)," ")</f>
        <v>Estaciones de bomberos adecuadas</v>
      </c>
      <c r="AC675" s="168" t="str">
        <f>CONCATENATE(AA675,"_",AB675)</f>
        <v>014_Estaciones de bomberos adecuadas</v>
      </c>
      <c r="AD675" s="168" t="str">
        <f>CONCATENATE(Z675," ",AC675)</f>
        <v>14-Infraestructura física misional construida mantenida y dotada  014_Estaciones de bomberos adecuadas</v>
      </c>
      <c r="AE675" s="172" t="str">
        <f>CONCATENATE(U675,V675,W675,X675,AA675)</f>
        <v>O23011745032024025514014</v>
      </c>
      <c r="AF675" s="172" t="str">
        <f>IFERROR(VLOOKUP(AD675,TD!$J$70:$K$93,2,0)," ")</f>
        <v>PM/0131/0114/45030140255</v>
      </c>
      <c r="AG675" s="130" t="s">
        <v>868</v>
      </c>
      <c r="AH675" s="182" t="s">
        <v>194</v>
      </c>
      <c r="AI675" s="184" t="str">
        <f>CONCATENATE(PAA[[#This Row],[Id Interno]],"-",PAA[[#This Row],[tipo de Contrato (TH talento humano - B/S bienes y/o servicios)]],"-",S675,"-",T675,"-",PAA[[#This Row],[Objeto de la contratación]])</f>
        <v>20260670-BS-8173-11-Adición No. 1 al contrato 709 de 2025 que tiene como objeto “Adquisicion de equipos electrodomésticos para las instalaciones de la UAE Cuerpo Oficial de Bomberos- SGC"</v>
      </c>
    </row>
    <row r="676" spans="2:35" ht="84" x14ac:dyDescent="0.35">
      <c r="B676" s="23">
        <v>20260671</v>
      </c>
      <c r="C676" s="23" t="s">
        <v>1333</v>
      </c>
      <c r="D676" s="23" t="s">
        <v>105</v>
      </c>
      <c r="E676" s="23" t="s">
        <v>402</v>
      </c>
      <c r="F676" s="23" t="s">
        <v>115</v>
      </c>
      <c r="G676" s="162" t="s">
        <v>379</v>
      </c>
      <c r="H676" s="131">
        <v>12</v>
      </c>
      <c r="I676" s="131">
        <v>0</v>
      </c>
      <c r="J676" s="122">
        <v>500000000</v>
      </c>
      <c r="K676" s="88" t="s">
        <v>398</v>
      </c>
      <c r="L676" s="163" t="s">
        <v>151</v>
      </c>
      <c r="M676" s="166" t="s">
        <v>401</v>
      </c>
      <c r="N676" s="23" t="s">
        <v>197</v>
      </c>
      <c r="O676" s="166" t="s">
        <v>886</v>
      </c>
      <c r="P676" s="166" t="s">
        <v>348</v>
      </c>
      <c r="Q676" s="53" t="s">
        <v>1135</v>
      </c>
      <c r="R676" s="166" t="s">
        <v>203</v>
      </c>
      <c r="S676" s="166" t="str">
        <f>MID(PAA[[#This Row],[Meta Proyecto de Inversión]],1,4)</f>
        <v>8126</v>
      </c>
      <c r="T676" s="166" t="str">
        <f>MID(PAA[[#This Row],[Meta Proyecto de Inversión]],6,2)</f>
        <v>4-</v>
      </c>
      <c r="U676" s="167" t="str">
        <f>IFERROR(VLOOKUP(N676,TD!$B$54:$F$58,2,0)," ")</f>
        <v>O230117</v>
      </c>
      <c r="V676" s="167" t="str">
        <f>IFERROR(VLOOKUP(N676,TD!$B$54:$F$58,3,0)," ")</f>
        <v>4599</v>
      </c>
      <c r="W676" s="167">
        <f>IFERROR(VLOOKUP(N676,TD!$B$54:$F$58,4,0)," ")</f>
        <v>20240207</v>
      </c>
      <c r="X676" s="174" t="s">
        <v>168</v>
      </c>
      <c r="Y676" s="167" t="str">
        <f>IFERROR(VLOOKUP(X676,TD!$J$55:$K$68,2,0)," ")</f>
        <v>Infraestructura Tecnológica   (Sistemas de Información y Tecnologia)</v>
      </c>
      <c r="Z676" s="174" t="str">
        <f>CONCATENATE(X676,"-",Y676)</f>
        <v>11-Infraestructura Tecnológica   (Sistemas de Información y Tecnologia)</v>
      </c>
      <c r="AA676" s="174" t="s">
        <v>228</v>
      </c>
      <c r="AB676" s="167" t="str">
        <f>IFERROR(VLOOKUP(AA676,TD!$N$55:$O$70,2,0)," ")</f>
        <v>Servicios tecnológicos</v>
      </c>
      <c r="AC676" s="166" t="str">
        <f>CONCATENATE(AA676,"_",AB676)</f>
        <v>007_Servicios tecnológicos</v>
      </c>
      <c r="AD676" s="166" t="str">
        <f>CONCATENATE(Z676," ",AC676)</f>
        <v>11-Infraestructura Tecnológica   (Sistemas de Información y Tecnologia) 007_Servicios tecnológicos</v>
      </c>
      <c r="AE676" s="167" t="str">
        <f>CONCATENATE(U676,V676,W676,X676,AA676)</f>
        <v>O23011745992024020711007</v>
      </c>
      <c r="AF676" s="167" t="str">
        <f>IFERROR(VLOOKUP(AD676,TD!$J$70:$K$93,2,0)," ")</f>
        <v>PM/0131/0111/45990070207</v>
      </c>
      <c r="AG676" s="130" t="s">
        <v>1136</v>
      </c>
      <c r="AH676" s="175" t="s">
        <v>193</v>
      </c>
      <c r="AI676" s="185" t="str">
        <f>CONCATENATE(PAA[[#This Row],[Id Interno]],"-",PAA[[#This Row],[tipo de Contrato (TH talento humano - B/S bienes y/o servicios)]],"-",S676,"-",T676,"-",PAA[[#This Row],[Objeto de la contratación]])</f>
        <v>20260671-BS-8126-4--aunar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v>
      </c>
    </row>
    <row r="677" spans="2:35" ht="84" x14ac:dyDescent="0.35">
      <c r="B677" s="97">
        <v>20260672</v>
      </c>
      <c r="C677" s="97" t="s">
        <v>490</v>
      </c>
      <c r="D677" s="97" t="s">
        <v>88</v>
      </c>
      <c r="E677" s="97" t="s">
        <v>402</v>
      </c>
      <c r="F677" s="97" t="s">
        <v>111</v>
      </c>
      <c r="G677" s="164" t="s">
        <v>377</v>
      </c>
      <c r="H677" s="170">
        <v>8</v>
      </c>
      <c r="I677" s="170">
        <v>0</v>
      </c>
      <c r="J677" s="114">
        <v>250000000</v>
      </c>
      <c r="K677" s="121" t="s">
        <v>398</v>
      </c>
      <c r="L677" s="164" t="s">
        <v>157</v>
      </c>
      <c r="M677" s="171" t="s">
        <v>483</v>
      </c>
      <c r="N677" s="97" t="s">
        <v>198</v>
      </c>
      <c r="O677" s="171" t="s">
        <v>887</v>
      </c>
      <c r="P677" s="171" t="s">
        <v>348</v>
      </c>
      <c r="Q677" s="123" t="s">
        <v>491</v>
      </c>
      <c r="R677" s="171" t="s">
        <v>213</v>
      </c>
      <c r="S677" s="166" t="str">
        <f>MID(PAA[[#This Row],[Meta Proyecto de Inversión]],1,4)</f>
        <v>8173</v>
      </c>
      <c r="T677" s="166" t="str">
        <f>MID(PAA[[#This Row],[Meta Proyecto de Inversión]],6,2)</f>
        <v>4-</v>
      </c>
      <c r="U677" s="172" t="str">
        <f>IFERROR(VLOOKUP(N677,TD!$B$54:$F$58,2,0)," ")</f>
        <v>O230117</v>
      </c>
      <c r="V677" s="172" t="str">
        <f>IFERROR(VLOOKUP(N677,TD!$B$54:$F$58,3,0)," ")</f>
        <v>4503</v>
      </c>
      <c r="W677" s="172">
        <f>IFERROR(VLOOKUP(N677,TD!$B$54:$F$58,4,0)," ")</f>
        <v>20240255</v>
      </c>
      <c r="X677" s="186" t="s">
        <v>180</v>
      </c>
      <c r="Y677" s="172" t="str">
        <f>IFERROR(VLOOKUP(X677,TD!$J$55:$K$68,2,0)," ")</f>
        <v>Servicio de apoyo   logístico  en eventos operativos y/o emergencias.</v>
      </c>
      <c r="Z677" s="180" t="str">
        <f>CONCATENATE(X677,"-",Y677)</f>
        <v>12-Servicio de apoyo   logístico  en eventos operativos y/o emergencias.</v>
      </c>
      <c r="AA677" s="186" t="s">
        <v>221</v>
      </c>
      <c r="AB677" s="172" t="str">
        <f>IFERROR(VLOOKUP(AA677,TD!$N$55:$O$70,2,0)," ")</f>
        <v>Servicio de atención a emergencias y desastres</v>
      </c>
      <c r="AC677" s="168" t="str">
        <f>CONCATENATE(AA677,"_",AB677)</f>
        <v>004_Servicio de atención a emergencias y desastres</v>
      </c>
      <c r="AD677" s="168" t="str">
        <f>CONCATENATE(Z677," ",AC677)</f>
        <v>12-Servicio de apoyo   logístico  en eventos operativos y/o emergencias. 004_Servicio de atención a emergencias y desastres</v>
      </c>
      <c r="AE677" s="172" t="str">
        <f>CONCATENATE(U677,V677,W677,X677,AA677)</f>
        <v>O23011745032024025512004</v>
      </c>
      <c r="AF677" s="172" t="str">
        <f>IFERROR(VLOOKUP(AD677,TD!$J$70:$K$93,2,0)," ")</f>
        <v>PM/0131/0112/45030040255</v>
      </c>
      <c r="AG677" s="130" t="s">
        <v>102</v>
      </c>
      <c r="AH677" s="182" t="s">
        <v>193</v>
      </c>
      <c r="AI677" s="184" t="str">
        <f>CONCATENATE(PAA[[#This Row],[Id Interno]],"-",PAA[[#This Row],[tipo de Contrato (TH talento humano - B/S bienes y/o servicios)]],"-",S677,"-",T677,"-",PAA[[#This Row],[Objeto de la contratación]])</f>
        <v>20260672-BS-8173-4--Suministro de alimentación e hidratación para el cuerpo operativo en la atención de emergencias, entrenamientos, capacitaciones y actividades de prevención.-SBLG </v>
      </c>
    </row>
    <row r="678" spans="2:35" ht="84" x14ac:dyDescent="0.35">
      <c r="B678" s="23">
        <v>20260673</v>
      </c>
      <c r="C678" s="97" t="s">
        <v>959</v>
      </c>
      <c r="D678" s="23" t="s">
        <v>114</v>
      </c>
      <c r="E678" s="23" t="s">
        <v>402</v>
      </c>
      <c r="F678" s="23" t="s">
        <v>79</v>
      </c>
      <c r="G678" s="124" t="s">
        <v>375</v>
      </c>
      <c r="H678" s="131">
        <v>3</v>
      </c>
      <c r="I678" s="131">
        <v>0</v>
      </c>
      <c r="J678" s="122">
        <v>12111000</v>
      </c>
      <c r="K678" s="88" t="s">
        <v>398</v>
      </c>
      <c r="L678" s="163" t="s">
        <v>156</v>
      </c>
      <c r="M678" s="166" t="s">
        <v>484</v>
      </c>
      <c r="N678" s="23" t="s">
        <v>198</v>
      </c>
      <c r="O678" s="166" t="s">
        <v>887</v>
      </c>
      <c r="P678" s="166" t="s">
        <v>348</v>
      </c>
      <c r="Q678" s="53" t="s">
        <v>960</v>
      </c>
      <c r="R678" s="166" t="s">
        <v>210</v>
      </c>
      <c r="S678" s="166" t="str">
        <f>MID(PAA[[#This Row],[Meta Proyecto de Inversión]],1,4)</f>
        <v>8173</v>
      </c>
      <c r="T678" s="166" t="str">
        <f>MID(PAA[[#This Row],[Meta Proyecto de Inversión]],6,2)</f>
        <v>1-</v>
      </c>
      <c r="U678" s="167" t="str">
        <f>IFERROR(VLOOKUP(N678,TD!$B$54:$F$58,2,0)," ")</f>
        <v>O230117</v>
      </c>
      <c r="V678" s="167" t="str">
        <f>IFERROR(VLOOKUP(N678,TD!$B$54:$F$58,3,0)," ")</f>
        <v>4503</v>
      </c>
      <c r="W678" s="167">
        <f>IFERROR(VLOOKUP(N678,TD!$B$54:$F$58,4,0)," ")</f>
        <v>20240255</v>
      </c>
      <c r="X678" s="174" t="s">
        <v>166</v>
      </c>
      <c r="Y678" s="167" t="str">
        <f>IFERROR(VLOOKUP(X678,TD!$J$55:$K$68,2,0)," ")</f>
        <v>Servicio de capacitaciones en gestión del riesgo de incendios  a la ciudadania.</v>
      </c>
      <c r="Z678" s="180" t="str">
        <f>CONCATENATE(X678,"-",Y678)</f>
        <v>05-Servicio de capacitaciones en gestión del riesgo de incendios  a la ciudadania.</v>
      </c>
      <c r="AA678" s="174" t="s">
        <v>223</v>
      </c>
      <c r="AB678" s="167" t="str">
        <f>IFERROR(VLOOKUP(AA678,TD!$N$55:$O$70,2,0)," ")</f>
        <v>Servicio prevención y control de incendios</v>
      </c>
      <c r="AC678" s="168" t="str">
        <f>CONCATENATE(AA678,"_",AB678)</f>
        <v>035_Servicio prevención y control de incendios</v>
      </c>
      <c r="AD678" s="168" t="str">
        <f>CONCATENATE(Z678," ",AC678)</f>
        <v>05-Servicio de capacitaciones en gestión del riesgo de incendios  a la ciudadania. 035_Servicio prevención y control de incendios</v>
      </c>
      <c r="AE678" s="167" t="str">
        <f>CONCATENATE(U678,V678,W678,X678,AA678)</f>
        <v>O23011745032024025505035</v>
      </c>
      <c r="AF678" s="167" t="str">
        <f>IFERROR(VLOOKUP(AD678,TD!$J$70:$K$93,2,0)," ")</f>
        <v>PM/0131/0105/45030350255</v>
      </c>
      <c r="AG678" s="130" t="s">
        <v>863</v>
      </c>
      <c r="AH678" s="175" t="s">
        <v>194</v>
      </c>
      <c r="AI678" s="184" t="str">
        <f>CONCATENATE(PAA[[#This Row],[Id Interno]],"-",PAA[[#This Row],[tipo de Contrato (TH talento humano - B/S bienes y/o servicios)]],"-",S678,"-",T678,"-",PAA[[#This Row],[Objeto de la contratación]])</f>
        <v>20260673-BS-8173-1--Adquisición de elementos de apoyo didáctico y pedagógico para actividades, programas y campañas requeridas en la Subdirección de Gestión del Riesgo_SGR”</v>
      </c>
    </row>
    <row r="679" spans="2:35" ht="56" x14ac:dyDescent="0.35">
      <c r="B679" s="97">
        <v>20260674</v>
      </c>
      <c r="C679" s="97" t="s">
        <v>963</v>
      </c>
      <c r="D679" s="97" t="s">
        <v>88</v>
      </c>
      <c r="E679" s="97" t="s">
        <v>402</v>
      </c>
      <c r="F679" s="97" t="s">
        <v>89</v>
      </c>
      <c r="G679" s="124" t="s">
        <v>376</v>
      </c>
      <c r="H679" s="150">
        <v>1</v>
      </c>
      <c r="I679" s="150">
        <v>0</v>
      </c>
      <c r="J679" s="114">
        <v>9942844</v>
      </c>
      <c r="K679" s="121" t="s">
        <v>398</v>
      </c>
      <c r="L679" s="164" t="s">
        <v>151</v>
      </c>
      <c r="M679" s="171" t="s">
        <v>401</v>
      </c>
      <c r="N679" s="97" t="s">
        <v>197</v>
      </c>
      <c r="O679" s="171" t="s">
        <v>886</v>
      </c>
      <c r="P679" s="171" t="s">
        <v>348</v>
      </c>
      <c r="Q679" s="123" t="s">
        <v>433</v>
      </c>
      <c r="R679" s="171" t="s">
        <v>203</v>
      </c>
      <c r="S679" s="166" t="str">
        <f>MID(PAA[[#This Row],[Meta Proyecto de Inversión]],1,4)</f>
        <v>8126</v>
      </c>
      <c r="T679" s="166" t="str">
        <f>MID(PAA[[#This Row],[Meta Proyecto de Inversión]],6,2)</f>
        <v>4-</v>
      </c>
      <c r="U679" s="172" t="str">
        <f>IFERROR(VLOOKUP(N679,TD!$B$54:$F$58,2,0)," ")</f>
        <v>O230117</v>
      </c>
      <c r="V679" s="172" t="str">
        <f>IFERROR(VLOOKUP(N679,TD!$B$54:$F$58,3,0)," ")</f>
        <v>4599</v>
      </c>
      <c r="W679" s="172">
        <f>IFERROR(VLOOKUP(N679,TD!$B$54:$F$58,4,0)," ")</f>
        <v>20240207</v>
      </c>
      <c r="X679" s="186" t="s">
        <v>168</v>
      </c>
      <c r="Y679" s="172" t="str">
        <f>IFERROR(VLOOKUP(X679,TD!$J$55:$K$68,2,0)," ")</f>
        <v>Infraestructura Tecnológica   (Sistemas de Información y Tecnologia)</v>
      </c>
      <c r="Z679" s="180" t="str">
        <f>CONCATENATE(X679,"-",Y679)</f>
        <v>11-Infraestructura Tecnológica   (Sistemas de Información y Tecnologia)</v>
      </c>
      <c r="AA679" s="186" t="s">
        <v>228</v>
      </c>
      <c r="AB679" s="172" t="str">
        <f>IFERROR(VLOOKUP(AA679,TD!$N$55:$O$70,2,0)," ")</f>
        <v>Servicios tecnológicos</v>
      </c>
      <c r="AC679" s="168" t="str">
        <f>CONCATENATE(AA679,"_",AB679)</f>
        <v>007_Servicios tecnológicos</v>
      </c>
      <c r="AD679" s="168" t="str">
        <f>CONCATENATE(Z679," ",AC679)</f>
        <v>11-Infraestructura Tecnológica   (Sistemas de Información y Tecnologia) 007_Servicios tecnológicos</v>
      </c>
      <c r="AE679" s="172" t="str">
        <f>CONCATENATE(U679,V679,W679,X679,AA679)</f>
        <v>O23011745992024020711007</v>
      </c>
      <c r="AF679" s="172" t="str">
        <f>IFERROR(VLOOKUP(AD679,TD!$J$70:$K$93,2,0)," ")</f>
        <v>PM/0131/0111/45990070207</v>
      </c>
      <c r="AG679" s="130" t="s">
        <v>116</v>
      </c>
      <c r="AH679" s="182" t="s">
        <v>194</v>
      </c>
      <c r="AI679" s="184" t="str">
        <f>CONCATENATE(PAA[[#This Row],[Id Interno]],"-",PAA[[#This Row],[tipo de Contrato (TH talento humano - B/S bienes y/o servicios)]],"-",S679,"-",T679,"-",PAA[[#This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80" spans="2:35" ht="56" x14ac:dyDescent="0.35">
      <c r="B680" s="97">
        <v>20260675</v>
      </c>
      <c r="C680" s="97" t="s">
        <v>966</v>
      </c>
      <c r="D680" s="97" t="s">
        <v>88</v>
      </c>
      <c r="E680" s="97" t="s">
        <v>402</v>
      </c>
      <c r="F680" s="97" t="s">
        <v>111</v>
      </c>
      <c r="G680" s="124" t="s">
        <v>377</v>
      </c>
      <c r="H680" s="150">
        <v>8</v>
      </c>
      <c r="I680" s="150">
        <v>0</v>
      </c>
      <c r="J680" s="114">
        <v>31000000</v>
      </c>
      <c r="K680" s="121" t="s">
        <v>398</v>
      </c>
      <c r="L680" s="164" t="s">
        <v>157</v>
      </c>
      <c r="M680" s="171" t="s">
        <v>483</v>
      </c>
      <c r="N680" s="97" t="s">
        <v>198</v>
      </c>
      <c r="O680" s="171" t="s">
        <v>887</v>
      </c>
      <c r="P680" s="171" t="s">
        <v>348</v>
      </c>
      <c r="Q680" s="123" t="s">
        <v>491</v>
      </c>
      <c r="R680" s="171" t="s">
        <v>213</v>
      </c>
      <c r="S680" s="166" t="str">
        <f>MID(PAA[[#This Row],[Meta Proyecto de Inversión]],1,4)</f>
        <v>8173</v>
      </c>
      <c r="T680" s="166" t="str">
        <f>MID(PAA[[#This Row],[Meta Proyecto de Inversión]],6,2)</f>
        <v>4-</v>
      </c>
      <c r="U680" s="172" t="str">
        <f>IFERROR(VLOOKUP(N680,TD!$B$54:$F$58,2,0)," ")</f>
        <v>O230117</v>
      </c>
      <c r="V680" s="172" t="str">
        <f>IFERROR(VLOOKUP(N680,TD!$B$54:$F$58,3,0)," ")</f>
        <v>4503</v>
      </c>
      <c r="W680" s="172">
        <f>IFERROR(VLOOKUP(N680,TD!$B$54:$F$58,4,0)," ")</f>
        <v>20240255</v>
      </c>
      <c r="X680" s="186" t="s">
        <v>180</v>
      </c>
      <c r="Y680" s="172" t="str">
        <f>IFERROR(VLOOKUP(X680,TD!$J$55:$K$68,2,0)," ")</f>
        <v>Servicio de apoyo   logístico  en eventos operativos y/o emergencias.</v>
      </c>
      <c r="Z680" s="180" t="str">
        <f>CONCATENATE(X680,"-",Y680)</f>
        <v>12-Servicio de apoyo   logístico  en eventos operativos y/o emergencias.</v>
      </c>
      <c r="AA680" s="186" t="s">
        <v>221</v>
      </c>
      <c r="AB680" s="172" t="str">
        <f>IFERROR(VLOOKUP(AA680,TD!$N$55:$O$70,2,0)," ")</f>
        <v>Servicio de atención a emergencias y desastres</v>
      </c>
      <c r="AC680" s="168" t="str">
        <f>CONCATENATE(AA680,"_",AB680)</f>
        <v>004_Servicio de atención a emergencias y desastres</v>
      </c>
      <c r="AD680" s="168" t="str">
        <f>CONCATENATE(Z680," ",AC680)</f>
        <v>12-Servicio de apoyo   logístico  en eventos operativos y/o emergencias. 004_Servicio de atención a emergencias y desastres</v>
      </c>
      <c r="AE680" s="172" t="str">
        <f>CONCATENATE(U680,V680,W680,X680,AA680)</f>
        <v>O23011745032024025512004</v>
      </c>
      <c r="AF680" s="172" t="str">
        <f>IFERROR(VLOOKUP(AD680,TD!$J$70:$K$93,2,0)," ")</f>
        <v>PM/0131/0112/45030040255</v>
      </c>
      <c r="AG680" s="130" t="s">
        <v>102</v>
      </c>
      <c r="AH680" s="182" t="s">
        <v>194</v>
      </c>
      <c r="AI680" s="184" t="str">
        <f>CONCATENATE(PAA[[#This Row],[Id Interno]],"-",PAA[[#This Row],[tipo de Contrato (TH talento humano - B/S bienes y/o servicios)]],"-",S680,"-",T680,"-",PAA[[#This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81" spans="2:35" ht="84" x14ac:dyDescent="0.35">
      <c r="B681" s="97">
        <v>20260677</v>
      </c>
      <c r="C681" s="97" t="s">
        <v>965</v>
      </c>
      <c r="D681" s="97" t="s">
        <v>88</v>
      </c>
      <c r="E681" s="97" t="s">
        <v>402</v>
      </c>
      <c r="F681" s="97" t="s">
        <v>101</v>
      </c>
      <c r="G681" s="124" t="s">
        <v>379</v>
      </c>
      <c r="H681" s="150">
        <v>6</v>
      </c>
      <c r="I681" s="150">
        <v>0</v>
      </c>
      <c r="J681" s="114">
        <v>0</v>
      </c>
      <c r="K681" s="121" t="s">
        <v>398</v>
      </c>
      <c r="L681" s="164" t="s">
        <v>157</v>
      </c>
      <c r="M681" s="171" t="s">
        <v>483</v>
      </c>
      <c r="N681" s="97" t="s">
        <v>198</v>
      </c>
      <c r="O681" s="171" t="s">
        <v>887</v>
      </c>
      <c r="P681" s="171" t="s">
        <v>348</v>
      </c>
      <c r="Q681" s="123">
        <v>46191607</v>
      </c>
      <c r="R681" s="171" t="s">
        <v>213</v>
      </c>
      <c r="S681" s="166" t="str">
        <f>MID(PAA[[#This Row],[Meta Proyecto de Inversión]],1,4)</f>
        <v>8173</v>
      </c>
      <c r="T681" s="166" t="str">
        <f>MID(PAA[[#This Row],[Meta Proyecto de Inversión]],6,2)</f>
        <v>4-</v>
      </c>
      <c r="U681" s="172" t="str">
        <f>IFERROR(VLOOKUP(N681,TD!$B$54:$F$58,2,0)," ")</f>
        <v>O230117</v>
      </c>
      <c r="V681" s="172" t="str">
        <f>IFERROR(VLOOKUP(N681,TD!$B$54:$F$58,3,0)," ")</f>
        <v>4503</v>
      </c>
      <c r="W681" s="172">
        <f>IFERROR(VLOOKUP(N681,TD!$B$54:$F$58,4,0)," ")</f>
        <v>20240255</v>
      </c>
      <c r="X681" s="186" t="s">
        <v>180</v>
      </c>
      <c r="Y681" s="172" t="str">
        <f>IFERROR(VLOOKUP(X681,TD!$J$55:$K$68,2,0)," ")</f>
        <v>Servicio de apoyo   logístico  en eventos operativos y/o emergencias.</v>
      </c>
      <c r="Z681" s="180" t="str">
        <f>CONCATENATE(X681,"-",Y681)</f>
        <v>12-Servicio de apoyo   logístico  en eventos operativos y/o emergencias.</v>
      </c>
      <c r="AA681" s="186" t="s">
        <v>221</v>
      </c>
      <c r="AB681" s="172" t="str">
        <f>IFERROR(VLOOKUP(AA681,TD!$N$55:$O$70,2,0)," ")</f>
        <v>Servicio de atención a emergencias y desastres</v>
      </c>
      <c r="AC681" s="168" t="str">
        <f>CONCATENATE(AA681,"_",AB681)</f>
        <v>004_Servicio de atención a emergencias y desastres</v>
      </c>
      <c r="AD681" s="168" t="str">
        <f>CONCATENATE(Z681," ",AC681)</f>
        <v>12-Servicio de apoyo   logístico  en eventos operativos y/o emergencias. 004_Servicio de atención a emergencias y desastres</v>
      </c>
      <c r="AE681" s="172" t="str">
        <f>CONCATENATE(U681,V681,W681,X681,AA681)</f>
        <v>O23011745032024025512004</v>
      </c>
      <c r="AF681" s="172" t="str">
        <f>IFERROR(VLOOKUP(AD681,TD!$J$70:$K$93,2,0)," ")</f>
        <v>PM/0131/0112/45030040255</v>
      </c>
      <c r="AG681" s="130" t="s">
        <v>80</v>
      </c>
      <c r="AH681" s="182" t="s">
        <v>193</v>
      </c>
      <c r="AI681" s="184" t="str">
        <f>CONCATENATE(PAA[[#This Row],[Id Interno]],"-",PAA[[#This Row],[tipo de Contrato (TH talento humano - B/S bienes y/o servicios)]],"-",S681,"-",T681,"-",PAA[[#This Row],[Objeto de la contratación]])</f>
        <v>20260677-BS-8173-4--Adquisición de agente encapsulador, para apagar incendios de baterías de iones de litio-SBLG</v>
      </c>
    </row>
    <row r="682" spans="2:35" ht="42" x14ac:dyDescent="0.35">
      <c r="B682" s="97">
        <v>20260679</v>
      </c>
      <c r="C682" s="97" t="s">
        <v>967</v>
      </c>
      <c r="D682" s="97" t="s">
        <v>100</v>
      </c>
      <c r="E682" s="97" t="s">
        <v>402</v>
      </c>
      <c r="F682" s="97" t="s">
        <v>93</v>
      </c>
      <c r="G682" s="124" t="s">
        <v>377</v>
      </c>
      <c r="H682" s="150">
        <v>1</v>
      </c>
      <c r="I682" s="150">
        <v>0</v>
      </c>
      <c r="J682" s="114">
        <v>5972249</v>
      </c>
      <c r="K682" s="121" t="s">
        <v>398</v>
      </c>
      <c r="L682" s="164" t="s">
        <v>155</v>
      </c>
      <c r="M682" s="171" t="s">
        <v>422</v>
      </c>
      <c r="N682" s="97" t="s">
        <v>198</v>
      </c>
      <c r="O682" s="171" t="s">
        <v>887</v>
      </c>
      <c r="P682" s="171" t="s">
        <v>348</v>
      </c>
      <c r="Q682" s="123" t="s">
        <v>968</v>
      </c>
      <c r="R682" s="171" t="s">
        <v>219</v>
      </c>
      <c r="S682" s="166" t="str">
        <f>MID(PAA[[#This Row],[Meta Proyecto de Inversión]],1,4)</f>
        <v>8173</v>
      </c>
      <c r="T682" s="166" t="str">
        <f>MID(PAA[[#This Row],[Meta Proyecto de Inversión]],6,2)</f>
        <v>10</v>
      </c>
      <c r="U682" s="172" t="str">
        <f>IFERROR(VLOOKUP(N682,TD!$B$54:$F$58,2,0)," ")</f>
        <v>O230117</v>
      </c>
      <c r="V682" s="172" t="str">
        <f>IFERROR(VLOOKUP(N682,TD!$B$54:$F$58,3,0)," ")</f>
        <v>4503</v>
      </c>
      <c r="W682" s="172">
        <f>IFERROR(VLOOKUP(N682,TD!$B$54:$F$58,4,0)," ")</f>
        <v>20240255</v>
      </c>
      <c r="X682" s="186" t="s">
        <v>174</v>
      </c>
      <c r="Y682" s="172" t="str">
        <f>IFERROR(VLOOKUP(X682,TD!$J$55:$K$68,2,0)," ")</f>
        <v>Infraestructura física, mantenimiento y dotación (Sedes construidas, mantenidas reforzadas)</v>
      </c>
      <c r="Z682" s="180" t="str">
        <f>CONCATENATE(X682,"-",Y682)</f>
        <v>08-Infraestructura física, mantenimiento y dotación (Sedes construidas, mantenidas reforzadas)</v>
      </c>
      <c r="AA682" s="186" t="s">
        <v>282</v>
      </c>
      <c r="AB682" s="172" t="str">
        <f>IFERROR(VLOOKUP(AA682,TD!$N$55:$O$70,2,0)," ")</f>
        <v>Documentos de lineamientos técnicos</v>
      </c>
      <c r="AC682" s="168" t="str">
        <f>CONCATENATE(AA682,"_",AB682)</f>
        <v>031__Documentos de lineamientos técnicos</v>
      </c>
      <c r="AD682" s="168" t="str">
        <f>CONCATENATE(Z682," ",AC682)</f>
        <v>08-Infraestructura física, mantenimiento y dotación (Sedes construidas, mantenidas reforzadas) 031__Documentos de lineamientos técnicos</v>
      </c>
      <c r="AE682" s="172" t="str">
        <f>CONCATENATE(U682,V682,W682,X682,AA682)</f>
        <v>O23011745032024025508031_</v>
      </c>
      <c r="AF682" s="172" t="str">
        <f>IFERROR(VLOOKUP(AD682,TD!$J$70:$K$93,2,0)," ")</f>
        <v>PM/0131/0108/45030310255</v>
      </c>
      <c r="AG682" s="130" t="s">
        <v>94</v>
      </c>
      <c r="AH682" s="182" t="s">
        <v>194</v>
      </c>
      <c r="AI682" s="184" t="str">
        <f>CONCATENATE(PAA[[#This Row],[Id Interno]],"-",PAA[[#This Row],[tipo de Contrato (TH talento humano - B/S bienes y/o servicios)]],"-",S682,"-",T682,"-",PAA[[#This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83" spans="2:35" ht="56" x14ac:dyDescent="0.35">
      <c r="B683" s="97">
        <v>20260680</v>
      </c>
      <c r="C683" s="97" t="s">
        <v>706</v>
      </c>
      <c r="D683" s="97" t="s">
        <v>78</v>
      </c>
      <c r="E683" s="97" t="s">
        <v>402</v>
      </c>
      <c r="F683" s="97" t="s">
        <v>97</v>
      </c>
      <c r="G683" s="124" t="s">
        <v>379</v>
      </c>
      <c r="H683" s="150">
        <v>15</v>
      </c>
      <c r="I683" s="150">
        <v>0</v>
      </c>
      <c r="J683" s="114">
        <v>1628100000</v>
      </c>
      <c r="K683" s="121" t="s">
        <v>397</v>
      </c>
      <c r="L683" s="164" t="s">
        <v>155</v>
      </c>
      <c r="M683" s="171" t="s">
        <v>422</v>
      </c>
      <c r="N683" s="97" t="s">
        <v>198</v>
      </c>
      <c r="O683" s="171" t="s">
        <v>887</v>
      </c>
      <c r="P683" s="171" t="s">
        <v>534</v>
      </c>
      <c r="Q683" s="123" t="s">
        <v>723</v>
      </c>
      <c r="R683" s="171" t="s">
        <v>217</v>
      </c>
      <c r="S683" s="166" t="str">
        <f>MID(PAA[[#This Row],[Meta Proyecto de Inversión]],1,4)</f>
        <v>8173</v>
      </c>
      <c r="T683" s="166" t="str">
        <f>MID(PAA[[#This Row],[Meta Proyecto de Inversión]],6,2)</f>
        <v>8-</v>
      </c>
      <c r="U683" s="172" t="str">
        <f>IFERROR(VLOOKUP(N683,TD!$B$54:$F$58,2,0)," ")</f>
        <v>O230117</v>
      </c>
      <c r="V683" s="172" t="str">
        <f>IFERROR(VLOOKUP(N683,TD!$B$54:$F$58,3,0)," ")</f>
        <v>4503</v>
      </c>
      <c r="W683" s="172">
        <f>IFERROR(VLOOKUP(N683,TD!$B$54:$F$58,4,0)," ")</f>
        <v>20240255</v>
      </c>
      <c r="X683" s="186">
        <v>14</v>
      </c>
      <c r="Y683" s="172" t="str">
        <f>IFERROR(VLOOKUP(X683,TD!$J$55:$K$68,2,0)," ")</f>
        <v xml:space="preserve">Infraestructura física misional construida mantenida y dotada </v>
      </c>
      <c r="Z683" s="180" t="str">
        <f>CONCATENATE(X683,"-",Y683)</f>
        <v xml:space="preserve">14-Infraestructura física misional construida mantenida y dotada </v>
      </c>
      <c r="AA683" s="186" t="s">
        <v>226</v>
      </c>
      <c r="AB683" s="172" t="str">
        <f>IFERROR(VLOOKUP(AA683,TD!$N$55:$O$70,2,0)," ")</f>
        <v>Estaciones de bomberos construidas</v>
      </c>
      <c r="AC683" s="168" t="str">
        <f>CONCATENATE(AA683,"_",AB683)</f>
        <v>015_Estaciones de bomberos construidas</v>
      </c>
      <c r="AD683" s="168" t="str">
        <f>CONCATENATE(Z683," ",AC683)</f>
        <v>14-Infraestructura física misional construida mantenida y dotada  015_Estaciones de bomberos construidas</v>
      </c>
      <c r="AE683" s="172" t="str">
        <f>CONCATENATE(U683,V683,W683,X683,AA683)</f>
        <v>O23011745032024025514015</v>
      </c>
      <c r="AF683" s="172" t="str">
        <f>IFERROR(VLOOKUP(AD683,TD!$J$70:$K$93,2,0)," ")</f>
        <v>PM/0131/0114/45030150255</v>
      </c>
      <c r="AG683" s="130" t="s">
        <v>94</v>
      </c>
      <c r="AH683" s="182" t="s">
        <v>193</v>
      </c>
      <c r="AI683" s="184" t="str">
        <f>CONCATENATE(PAA[[#This Row],[Id Interno]],"-",PAA[[#This Row],[tipo de Contrato (TH talento humano - B/S bienes y/o servicios)]],"-",S683,"-",T683,"-",PAA[[#This Row],[Objeto de la contratación]])</f>
        <v>20260680-BS-8173-8--Construcción de la estación  Ferias  B-7  UAE Cuerpo Oficial de Bomberos de Bogotá – SGC</v>
      </c>
    </row>
    <row r="684" spans="2:35" ht="28" x14ac:dyDescent="0.35">
      <c r="B684" s="97">
        <v>20260681</v>
      </c>
      <c r="C684" s="97" t="s">
        <v>969</v>
      </c>
      <c r="D684" s="97" t="s">
        <v>100</v>
      </c>
      <c r="E684" s="97" t="s">
        <v>402</v>
      </c>
      <c r="F684" s="97" t="s">
        <v>131</v>
      </c>
      <c r="G684" s="124" t="s">
        <v>379</v>
      </c>
      <c r="H684" s="150">
        <v>15</v>
      </c>
      <c r="I684" s="150">
        <v>0</v>
      </c>
      <c r="J684" s="114">
        <v>223500000</v>
      </c>
      <c r="K684" s="121" t="s">
        <v>397</v>
      </c>
      <c r="L684" s="164" t="s">
        <v>155</v>
      </c>
      <c r="M684" s="171" t="s">
        <v>422</v>
      </c>
      <c r="N684" s="97" t="s">
        <v>198</v>
      </c>
      <c r="O684" s="171" t="s">
        <v>887</v>
      </c>
      <c r="P684" s="171" t="s">
        <v>534</v>
      </c>
      <c r="Q684" s="123" t="s">
        <v>724</v>
      </c>
      <c r="R684" s="171" t="s">
        <v>217</v>
      </c>
      <c r="S684" s="166" t="str">
        <f>MID(PAA[[#This Row],[Meta Proyecto de Inversión]],1,4)</f>
        <v>8173</v>
      </c>
      <c r="T684" s="166" t="str">
        <f>MID(PAA[[#This Row],[Meta Proyecto de Inversión]],6,2)</f>
        <v>8-</v>
      </c>
      <c r="U684" s="172" t="str">
        <f>IFERROR(VLOOKUP(N684,TD!$B$54:$F$58,2,0)," ")</f>
        <v>O230117</v>
      </c>
      <c r="V684" s="172" t="str">
        <f>IFERROR(VLOOKUP(N684,TD!$B$54:$F$58,3,0)," ")</f>
        <v>4503</v>
      </c>
      <c r="W684" s="172">
        <f>IFERROR(VLOOKUP(N684,TD!$B$54:$F$58,4,0)," ")</f>
        <v>20240255</v>
      </c>
      <c r="X684" s="186">
        <v>14</v>
      </c>
      <c r="Y684" s="172" t="str">
        <f>IFERROR(VLOOKUP(X684,TD!$J$55:$K$68,2,0)," ")</f>
        <v xml:space="preserve">Infraestructura física misional construida mantenida y dotada </v>
      </c>
      <c r="Z684" s="180" t="str">
        <f>CONCATENATE(X684,"-",Y684)</f>
        <v xml:space="preserve">14-Infraestructura física misional construida mantenida y dotada </v>
      </c>
      <c r="AA684" s="186" t="s">
        <v>226</v>
      </c>
      <c r="AB684" s="172" t="str">
        <f>IFERROR(VLOOKUP(AA684,TD!$N$55:$O$70,2,0)," ")</f>
        <v>Estaciones de bomberos construidas</v>
      </c>
      <c r="AC684" s="168" t="str">
        <f>CONCATENATE(AA684,"_",AB684)</f>
        <v>015_Estaciones de bomberos construidas</v>
      </c>
      <c r="AD684" s="168" t="str">
        <f>CONCATENATE(Z684," ",AC684)</f>
        <v>14-Infraestructura física misional construida mantenida y dotada  015_Estaciones de bomberos construidas</v>
      </c>
      <c r="AE684" s="172" t="str">
        <f>CONCATENATE(U684,V684,W684,X684,AA684)</f>
        <v>O23011745032024025514015</v>
      </c>
      <c r="AF684" s="172" t="str">
        <f>IFERROR(VLOOKUP(AD684,TD!$J$70:$K$93,2,0)," ")</f>
        <v>PM/0131/0114/45030150255</v>
      </c>
      <c r="AG684" s="130" t="s">
        <v>94</v>
      </c>
      <c r="AH684" s="182" t="s">
        <v>193</v>
      </c>
      <c r="AI684" s="184" t="str">
        <f>CONCATENATE(PAA[[#This Row],[Id Interno]],"-",PAA[[#This Row],[tipo de Contrato (TH talento humano - B/S bienes y/o servicios)]],"-",S684,"-",T684,"-",PAA[[#This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85" spans="2:35" ht="56" x14ac:dyDescent="0.35">
      <c r="B685" s="97">
        <v>20260685</v>
      </c>
      <c r="C685" s="97" t="s">
        <v>953</v>
      </c>
      <c r="D685" s="97" t="s">
        <v>100</v>
      </c>
      <c r="E685" s="97" t="s">
        <v>402</v>
      </c>
      <c r="F685" s="97" t="s">
        <v>131</v>
      </c>
      <c r="G685" s="124" t="s">
        <v>379</v>
      </c>
      <c r="H685" s="150">
        <v>10</v>
      </c>
      <c r="I685" s="150">
        <v>0</v>
      </c>
      <c r="J685" s="114">
        <v>17798000</v>
      </c>
      <c r="K685" s="121" t="s">
        <v>398</v>
      </c>
      <c r="L685" s="164" t="s">
        <v>155</v>
      </c>
      <c r="M685" s="171" t="s">
        <v>422</v>
      </c>
      <c r="N685" s="97" t="s">
        <v>198</v>
      </c>
      <c r="O685" s="171" t="s">
        <v>887</v>
      </c>
      <c r="P685" s="171" t="s">
        <v>348</v>
      </c>
      <c r="Q685" s="123" t="s">
        <v>724</v>
      </c>
      <c r="R685" s="171" t="s">
        <v>216</v>
      </c>
      <c r="S685" s="166" t="str">
        <f>MID(PAA[[#This Row],[Meta Proyecto de Inversión]],1,4)</f>
        <v>8173</v>
      </c>
      <c r="T685" s="166" t="str">
        <f>MID(PAA[[#This Row],[Meta Proyecto de Inversión]],6,2)</f>
        <v>7-</v>
      </c>
      <c r="U685" s="172" t="str">
        <f>IFERROR(VLOOKUP(N685,TD!$B$54:$F$58,2,0)," ")</f>
        <v>O230117</v>
      </c>
      <c r="V685" s="172" t="str">
        <f>IFERROR(VLOOKUP(N685,TD!$B$54:$F$58,3,0)," ")</f>
        <v>4503</v>
      </c>
      <c r="W685" s="172">
        <f>IFERROR(VLOOKUP(N685,TD!$B$54:$F$58,4,0)," ")</f>
        <v>20240255</v>
      </c>
      <c r="X685" s="186">
        <v>14</v>
      </c>
      <c r="Y685" s="172" t="str">
        <f>IFERROR(VLOOKUP(X685,TD!$J$55:$K$68,2,0)," ")</f>
        <v xml:space="preserve">Infraestructura física misional construida mantenida y dotada </v>
      </c>
      <c r="Z685" s="180" t="str">
        <f>CONCATENATE(X685,"-",Y685)</f>
        <v xml:space="preserve">14-Infraestructura física misional construida mantenida y dotada </v>
      </c>
      <c r="AA685" s="186" t="s">
        <v>225</v>
      </c>
      <c r="AB685" s="172" t="str">
        <f>IFERROR(VLOOKUP(AA685,TD!$N$55:$O$70,2,0)," ")</f>
        <v>Estaciones de bomberos adecuadas</v>
      </c>
      <c r="AC685" s="168" t="str">
        <f>CONCATENATE(AA685,"_",AB685)</f>
        <v>014_Estaciones de bomberos adecuadas</v>
      </c>
      <c r="AD685" s="168" t="str">
        <f>CONCATENATE(Z685," ",AC685)</f>
        <v>14-Infraestructura física misional construida mantenida y dotada  014_Estaciones de bomberos adecuadas</v>
      </c>
      <c r="AE685" s="172" t="str">
        <f>CONCATENATE(U685,V685,W685,X685,AA685)</f>
        <v>O23011745032024025514014</v>
      </c>
      <c r="AF685" s="172" t="str">
        <f>IFERROR(VLOOKUP(AD685,TD!$J$70:$K$93,2,0)," ")</f>
        <v>PM/0131/0114/45030140255</v>
      </c>
      <c r="AG685" s="130" t="s">
        <v>94</v>
      </c>
      <c r="AH685" s="182" t="s">
        <v>193</v>
      </c>
      <c r="AI685" s="184" t="str">
        <f>CONCATENATE(PAA[[#This Row],[Id Interno]],"-",PAA[[#This Row],[tipo de Contrato (TH talento humano - B/S bienes y/o servicios)]],"-",S685,"-",T685,"-",PAA[[#This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86" spans="2:35" ht="70" x14ac:dyDescent="0.35">
      <c r="B686" s="97">
        <v>20260686</v>
      </c>
      <c r="C686" s="97" t="s">
        <v>952</v>
      </c>
      <c r="D686" s="97" t="s">
        <v>78</v>
      </c>
      <c r="E686" s="97" t="s">
        <v>402</v>
      </c>
      <c r="F686" s="97" t="s">
        <v>97</v>
      </c>
      <c r="G686" s="124" t="s">
        <v>379</v>
      </c>
      <c r="H686" s="150">
        <v>10</v>
      </c>
      <c r="I686" s="150">
        <v>0</v>
      </c>
      <c r="J686" s="114">
        <v>730602000</v>
      </c>
      <c r="K686" s="121" t="s">
        <v>398</v>
      </c>
      <c r="L686" s="164" t="s">
        <v>155</v>
      </c>
      <c r="M686" s="171" t="s">
        <v>422</v>
      </c>
      <c r="N686" s="97" t="s">
        <v>198</v>
      </c>
      <c r="O686" s="171" t="s">
        <v>887</v>
      </c>
      <c r="P686" s="171" t="s">
        <v>534</v>
      </c>
      <c r="Q686" s="123" t="s">
        <v>723</v>
      </c>
      <c r="R686" s="171" t="s">
        <v>216</v>
      </c>
      <c r="S686" s="166" t="str">
        <f>MID(PAA[[#This Row],[Meta Proyecto de Inversión]],1,4)</f>
        <v>8173</v>
      </c>
      <c r="T686" s="166" t="str">
        <f>MID(PAA[[#This Row],[Meta Proyecto de Inversión]],6,2)</f>
        <v>7-</v>
      </c>
      <c r="U686" s="172" t="str">
        <f>IFERROR(VLOOKUP(N686,TD!$B$54:$F$58,2,0)," ")</f>
        <v>O230117</v>
      </c>
      <c r="V686" s="172" t="str">
        <f>IFERROR(VLOOKUP(N686,TD!$B$54:$F$58,3,0)," ")</f>
        <v>4503</v>
      </c>
      <c r="W686" s="172">
        <f>IFERROR(VLOOKUP(N686,TD!$B$54:$F$58,4,0)," ")</f>
        <v>20240255</v>
      </c>
      <c r="X686" s="186">
        <v>14</v>
      </c>
      <c r="Y686" s="172" t="str">
        <f>IFERROR(VLOOKUP(X686,TD!$J$55:$K$68,2,0)," ")</f>
        <v xml:space="preserve">Infraestructura física misional construida mantenida y dotada </v>
      </c>
      <c r="Z686" s="180" t="str">
        <f>CONCATENATE(X686,"-",Y686)</f>
        <v xml:space="preserve">14-Infraestructura física misional construida mantenida y dotada </v>
      </c>
      <c r="AA686" s="186" t="s">
        <v>225</v>
      </c>
      <c r="AB686" s="172" t="str">
        <f>IFERROR(VLOOKUP(AA686,TD!$N$55:$O$70,2,0)," ")</f>
        <v>Estaciones de bomberos adecuadas</v>
      </c>
      <c r="AC686" s="168" t="str">
        <f>CONCATENATE(AA686,"_",AB686)</f>
        <v>014_Estaciones de bomberos adecuadas</v>
      </c>
      <c r="AD686" s="168" t="str">
        <f>CONCATENATE(Z686," ",AC686)</f>
        <v>14-Infraestructura física misional construida mantenida y dotada  014_Estaciones de bomberos adecuadas</v>
      </c>
      <c r="AE686" s="172" t="str">
        <f>CONCATENATE(U686,V686,W686,X686,AA686)</f>
        <v>O23011745032024025514014</v>
      </c>
      <c r="AF686" s="172" t="str">
        <f>IFERROR(VLOOKUP(AD686,TD!$J$70:$K$93,2,0)," ")</f>
        <v>PM/0131/0114/45030140255</v>
      </c>
      <c r="AG686" s="130" t="s">
        <v>94</v>
      </c>
      <c r="AH686" s="182" t="s">
        <v>193</v>
      </c>
      <c r="AI686" s="184" t="str">
        <f>CONCATENATE(PAA[[#This Row],[Id Interno]],"-",PAA[[#This Row],[tipo de Contrato (TH talento humano - B/S bienes y/o servicios)]],"-",S686,"-",T686,"-",PAA[[#This Row],[Objeto de la contratación]])</f>
        <v>20260686-BS-8173-7--Realizar la adecuación y mejoramiento de las instalaciones de La Unidad Administrativa Especial Cuerpo Oficial de Bomberos de Bogotá D.C. – SGC.C</v>
      </c>
    </row>
    <row r="687" spans="2:35" ht="42" x14ac:dyDescent="0.35">
      <c r="B687" s="97">
        <v>20260687</v>
      </c>
      <c r="C687" s="97" t="s">
        <v>953</v>
      </c>
      <c r="D687" s="97" t="s">
        <v>100</v>
      </c>
      <c r="E687" s="97" t="s">
        <v>402</v>
      </c>
      <c r="F687" s="97" t="s">
        <v>131</v>
      </c>
      <c r="G687" s="124" t="s">
        <v>379</v>
      </c>
      <c r="H687" s="150">
        <v>10</v>
      </c>
      <c r="I687" s="150">
        <v>0</v>
      </c>
      <c r="J687" s="114">
        <v>250000000</v>
      </c>
      <c r="K687" s="121" t="s">
        <v>398</v>
      </c>
      <c r="L687" s="164" t="s">
        <v>155</v>
      </c>
      <c r="M687" s="171" t="s">
        <v>422</v>
      </c>
      <c r="N687" s="97" t="s">
        <v>198</v>
      </c>
      <c r="O687" s="171" t="s">
        <v>887</v>
      </c>
      <c r="P687" s="171" t="s">
        <v>534</v>
      </c>
      <c r="Q687" s="123" t="s">
        <v>724</v>
      </c>
      <c r="R687" s="171" t="s">
        <v>216</v>
      </c>
      <c r="S687" s="166" t="str">
        <f>MID(PAA[[#This Row],[Meta Proyecto de Inversión]],1,4)</f>
        <v>8173</v>
      </c>
      <c r="T687" s="166" t="str">
        <f>MID(PAA[[#This Row],[Meta Proyecto de Inversión]],6,2)</f>
        <v>7-</v>
      </c>
      <c r="U687" s="172" t="str">
        <f>IFERROR(VLOOKUP(N687,TD!$B$54:$F$58,2,0)," ")</f>
        <v>O230117</v>
      </c>
      <c r="V687" s="172" t="str">
        <f>IFERROR(VLOOKUP(N687,TD!$B$54:$F$58,3,0)," ")</f>
        <v>4503</v>
      </c>
      <c r="W687" s="172">
        <f>IFERROR(VLOOKUP(N687,TD!$B$54:$F$58,4,0)," ")</f>
        <v>20240255</v>
      </c>
      <c r="X687" s="186">
        <v>14</v>
      </c>
      <c r="Y687" s="172" t="str">
        <f>IFERROR(VLOOKUP(X687,TD!$J$55:$K$68,2,0)," ")</f>
        <v xml:space="preserve">Infraestructura física misional construida mantenida y dotada </v>
      </c>
      <c r="Z687" s="180" t="str">
        <f>CONCATENATE(X687,"-",Y687)</f>
        <v xml:space="preserve">14-Infraestructura física misional construida mantenida y dotada </v>
      </c>
      <c r="AA687" s="186" t="s">
        <v>225</v>
      </c>
      <c r="AB687" s="172" t="str">
        <f>IFERROR(VLOOKUP(AA687,TD!$N$55:$O$70,2,0)," ")</f>
        <v>Estaciones de bomberos adecuadas</v>
      </c>
      <c r="AC687" s="168" t="str">
        <f>CONCATENATE(AA687,"_",AB687)</f>
        <v>014_Estaciones de bomberos adecuadas</v>
      </c>
      <c r="AD687" s="168" t="str">
        <f>CONCATENATE(Z687," ",AC687)</f>
        <v>14-Infraestructura física misional construida mantenida y dotada  014_Estaciones de bomberos adecuadas</v>
      </c>
      <c r="AE687" s="172" t="str">
        <f>CONCATENATE(U687,V687,W687,X687,AA687)</f>
        <v>O23011745032024025514014</v>
      </c>
      <c r="AF687" s="172" t="str">
        <f>IFERROR(VLOOKUP(AD687,TD!$J$70:$K$93,2,0)," ")</f>
        <v>PM/0131/0114/45030140255</v>
      </c>
      <c r="AG687" s="130" t="s">
        <v>94</v>
      </c>
      <c r="AH687" s="182" t="s">
        <v>193</v>
      </c>
      <c r="AI687" s="184" t="str">
        <f>CONCATENATE(PAA[[#This Row],[Id Interno]],"-",PAA[[#This Row],[tipo de Contrato (TH talento humano - B/S bienes y/o servicios)]],"-",S687,"-",T687,"-",PAA[[#This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88" spans="2:35" ht="70" x14ac:dyDescent="0.35">
      <c r="B688" s="97">
        <v>20260688</v>
      </c>
      <c r="C688" s="97" t="s">
        <v>970</v>
      </c>
      <c r="D688" s="97" t="s">
        <v>119</v>
      </c>
      <c r="E688" s="97" t="s">
        <v>402</v>
      </c>
      <c r="F688" s="97" t="s">
        <v>128</v>
      </c>
      <c r="G688" s="124" t="s">
        <v>377</v>
      </c>
      <c r="H688" s="150">
        <v>0</v>
      </c>
      <c r="I688" s="150">
        <v>0</v>
      </c>
      <c r="J688" s="114">
        <v>40032337</v>
      </c>
      <c r="K688" s="121" t="s">
        <v>398</v>
      </c>
      <c r="L688" s="164" t="s">
        <v>155</v>
      </c>
      <c r="M688" s="171" t="s">
        <v>422</v>
      </c>
      <c r="N688" s="97" t="s">
        <v>198</v>
      </c>
      <c r="O688" s="171" t="s">
        <v>887</v>
      </c>
      <c r="P688" s="171" t="s">
        <v>162</v>
      </c>
      <c r="Q688" s="123" t="s">
        <v>335</v>
      </c>
      <c r="R688" s="171" t="s">
        <v>219</v>
      </c>
      <c r="S688" s="166" t="str">
        <f>MID(PAA[[#This Row],[Meta Proyecto de Inversión]],1,4)</f>
        <v>8173</v>
      </c>
      <c r="T688" s="166" t="str">
        <f>MID(PAA[[#This Row],[Meta Proyecto de Inversión]],6,2)</f>
        <v>10</v>
      </c>
      <c r="U688" s="172" t="str">
        <f>IFERROR(VLOOKUP(N688,TD!$B$54:$F$58,2,0)," ")</f>
        <v>O230117</v>
      </c>
      <c r="V688" s="172" t="str">
        <f>IFERROR(VLOOKUP(N688,TD!$B$54:$F$58,3,0)," ")</f>
        <v>4503</v>
      </c>
      <c r="W688" s="172">
        <f>IFERROR(VLOOKUP(N688,TD!$B$54:$F$58,4,0)," ")</f>
        <v>20240255</v>
      </c>
      <c r="X688" s="186" t="s">
        <v>174</v>
      </c>
      <c r="Y688" s="172" t="str">
        <f>IFERROR(VLOOKUP(X688,TD!$J$55:$K$68,2,0)," ")</f>
        <v>Infraestructura física, mantenimiento y dotación (Sedes construidas, mantenidas reforzadas)</v>
      </c>
      <c r="Z688" s="180" t="str">
        <f>CONCATENATE(X688,"-",Y688)</f>
        <v>08-Infraestructura física, mantenimiento y dotación (Sedes construidas, mantenidas reforzadas)</v>
      </c>
      <c r="AA688" s="186" t="s">
        <v>282</v>
      </c>
      <c r="AB688" s="172" t="str">
        <f>IFERROR(VLOOKUP(AA688,TD!$N$55:$O$70,2,0)," ")</f>
        <v>Documentos de lineamientos técnicos</v>
      </c>
      <c r="AC688" s="168" t="str">
        <f>CONCATENATE(AA688,"_",AB688)</f>
        <v>031__Documentos de lineamientos técnicos</v>
      </c>
      <c r="AD688" s="168" t="str">
        <f>CONCATENATE(Z688," ",AC688)</f>
        <v>08-Infraestructura física, mantenimiento y dotación (Sedes construidas, mantenidas reforzadas) 031__Documentos de lineamientos técnicos</v>
      </c>
      <c r="AE688" s="172" t="str">
        <f>CONCATENATE(U688,V688,W688,X688,AA688)</f>
        <v>O23011745032024025508031_</v>
      </c>
      <c r="AF688" s="172" t="str">
        <f>IFERROR(VLOOKUP(AD688,TD!$J$70:$K$93,2,0)," ")</f>
        <v>PM/0131/0108/45030310255</v>
      </c>
      <c r="AG688" s="130" t="s">
        <v>94</v>
      </c>
      <c r="AH688" s="182" t="s">
        <v>194</v>
      </c>
      <c r="AI688" s="184" t="str">
        <f>CONCATENATE(PAA[[#This Row],[Id Interno]],"-",PAA[[#This Row],[tipo de Contrato (TH talento humano - B/S bienes y/o servicios)]],"-",S688,"-",T688,"-",PAA[[#This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89" spans="2:35" ht="112" x14ac:dyDescent="0.35">
      <c r="B689" s="97">
        <v>20260689</v>
      </c>
      <c r="C689" s="97" t="s">
        <v>971</v>
      </c>
      <c r="D689" s="97" t="s">
        <v>119</v>
      </c>
      <c r="E689" s="97" t="s">
        <v>402</v>
      </c>
      <c r="F689" s="97" t="s">
        <v>128</v>
      </c>
      <c r="G689" s="124" t="s">
        <v>377</v>
      </c>
      <c r="H689" s="150">
        <v>0</v>
      </c>
      <c r="I689" s="150">
        <v>0</v>
      </c>
      <c r="J689" s="114">
        <v>135000000</v>
      </c>
      <c r="K689" s="121" t="s">
        <v>398</v>
      </c>
      <c r="L689" s="164" t="s">
        <v>155</v>
      </c>
      <c r="M689" s="171" t="s">
        <v>422</v>
      </c>
      <c r="N689" s="97" t="s">
        <v>198</v>
      </c>
      <c r="O689" s="171" t="s">
        <v>887</v>
      </c>
      <c r="P689" s="171" t="s">
        <v>162</v>
      </c>
      <c r="Q689" s="123" t="s">
        <v>335</v>
      </c>
      <c r="R689" s="171" t="s">
        <v>219</v>
      </c>
      <c r="S689" s="166" t="str">
        <f>MID(PAA[[#This Row],[Meta Proyecto de Inversión]],1,4)</f>
        <v>8173</v>
      </c>
      <c r="T689" s="166" t="str">
        <f>MID(PAA[[#This Row],[Meta Proyecto de Inversión]],6,2)</f>
        <v>10</v>
      </c>
      <c r="U689" s="172" t="str">
        <f>IFERROR(VLOOKUP(N689,TD!$B$54:$F$58,2,0)," ")</f>
        <v>O230117</v>
      </c>
      <c r="V689" s="172" t="str">
        <f>IFERROR(VLOOKUP(N689,TD!$B$54:$F$58,3,0)," ")</f>
        <v>4503</v>
      </c>
      <c r="W689" s="172">
        <f>IFERROR(VLOOKUP(N689,TD!$B$54:$F$58,4,0)," ")</f>
        <v>20240255</v>
      </c>
      <c r="X689" s="186" t="s">
        <v>174</v>
      </c>
      <c r="Y689" s="172" t="str">
        <f>IFERROR(VLOOKUP(X689,TD!$J$55:$K$68,2,0)," ")</f>
        <v>Infraestructura física, mantenimiento y dotación (Sedes construidas, mantenidas reforzadas)</v>
      </c>
      <c r="Z689" s="180" t="str">
        <f>CONCATENATE(X689,"-",Y689)</f>
        <v>08-Infraestructura física, mantenimiento y dotación (Sedes construidas, mantenidas reforzadas)</v>
      </c>
      <c r="AA689" s="186" t="s">
        <v>282</v>
      </c>
      <c r="AB689" s="172" t="str">
        <f>IFERROR(VLOOKUP(AA689,TD!$N$55:$O$70,2,0)," ")</f>
        <v>Documentos de lineamientos técnicos</v>
      </c>
      <c r="AC689" s="168" t="str">
        <f>CONCATENATE(AA689,"_",AB689)</f>
        <v>031__Documentos de lineamientos técnicos</v>
      </c>
      <c r="AD689" s="168" t="str">
        <f>CONCATENATE(Z689," ",AC689)</f>
        <v>08-Infraestructura física, mantenimiento y dotación (Sedes construidas, mantenidas reforzadas) 031__Documentos de lineamientos técnicos</v>
      </c>
      <c r="AE689" s="172" t="str">
        <f>CONCATENATE(U689,V689,W689,X689,AA689)</f>
        <v>O23011745032024025508031_</v>
      </c>
      <c r="AF689" s="172" t="str">
        <f>IFERROR(VLOOKUP(AD689,TD!$J$70:$K$93,2,0)," ")</f>
        <v>PM/0131/0108/45030310255</v>
      </c>
      <c r="AG689" s="130" t="s">
        <v>94</v>
      </c>
      <c r="AH689" s="182" t="s">
        <v>194</v>
      </c>
      <c r="AI689" s="184" t="str">
        <f>CONCATENATE(PAA[[#This Row],[Id Interno]],"-",PAA[[#This Row],[tipo de Contrato (TH talento humano - B/S bienes y/o servicios)]],"-",S689,"-",T689,"-",PAA[[#This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90" spans="2:35" ht="84" x14ac:dyDescent="0.35">
      <c r="B690" s="97">
        <v>20260690</v>
      </c>
      <c r="C690" s="97" t="s">
        <v>972</v>
      </c>
      <c r="D690" s="97" t="s">
        <v>119</v>
      </c>
      <c r="E690" s="97" t="s">
        <v>402</v>
      </c>
      <c r="F690" s="97" t="s">
        <v>128</v>
      </c>
      <c r="G690" s="124" t="s">
        <v>377</v>
      </c>
      <c r="H690" s="150">
        <v>0</v>
      </c>
      <c r="I690" s="150">
        <v>0</v>
      </c>
      <c r="J690" s="114">
        <v>10802121</v>
      </c>
      <c r="K690" s="121" t="s">
        <v>398</v>
      </c>
      <c r="L690" s="164" t="s">
        <v>155</v>
      </c>
      <c r="M690" s="171" t="s">
        <v>422</v>
      </c>
      <c r="N690" s="97" t="s">
        <v>198</v>
      </c>
      <c r="O690" s="171" t="s">
        <v>887</v>
      </c>
      <c r="P690" s="171" t="s">
        <v>162</v>
      </c>
      <c r="Q690" s="123" t="s">
        <v>335</v>
      </c>
      <c r="R690" s="171" t="s">
        <v>216</v>
      </c>
      <c r="S690" s="166" t="str">
        <f>MID(PAA[[#This Row],[Meta Proyecto de Inversión]],1,4)</f>
        <v>8173</v>
      </c>
      <c r="T690" s="166" t="str">
        <f>MID(PAA[[#This Row],[Meta Proyecto de Inversión]],6,2)</f>
        <v>7-</v>
      </c>
      <c r="U690" s="172" t="str">
        <f>IFERROR(VLOOKUP(N690,TD!$B$54:$F$58,2,0)," ")</f>
        <v>O230117</v>
      </c>
      <c r="V690" s="172" t="str">
        <f>IFERROR(VLOOKUP(N690,TD!$B$54:$F$58,3,0)," ")</f>
        <v>4503</v>
      </c>
      <c r="W690" s="172">
        <f>IFERROR(VLOOKUP(N690,TD!$B$54:$F$58,4,0)," ")</f>
        <v>20240255</v>
      </c>
      <c r="X690" s="186">
        <v>14</v>
      </c>
      <c r="Y690" s="172" t="str">
        <f>IFERROR(VLOOKUP(X690,TD!$J$55:$K$68,2,0)," ")</f>
        <v xml:space="preserve">Infraestructura física misional construida mantenida y dotada </v>
      </c>
      <c r="Z690" s="180" t="str">
        <f>CONCATENATE(X690,"-",Y690)</f>
        <v xml:space="preserve">14-Infraestructura física misional construida mantenida y dotada </v>
      </c>
      <c r="AA690" s="186" t="s">
        <v>225</v>
      </c>
      <c r="AB690" s="172" t="str">
        <f>IFERROR(VLOOKUP(AA690,TD!$N$55:$O$70,2,0)," ")</f>
        <v>Estaciones de bomberos adecuadas</v>
      </c>
      <c r="AC690" s="168" t="str">
        <f>CONCATENATE(AA690,"_",AB690)</f>
        <v>014_Estaciones de bomberos adecuadas</v>
      </c>
      <c r="AD690" s="168" t="str">
        <f>CONCATENATE(Z690," ",AC690)</f>
        <v>14-Infraestructura física misional construida mantenida y dotada  014_Estaciones de bomberos adecuadas</v>
      </c>
      <c r="AE690" s="172" t="str">
        <f>CONCATENATE(U690,V690,W690,X690,AA690)</f>
        <v>O23011745032024025514014</v>
      </c>
      <c r="AF690" s="172" t="str">
        <f>IFERROR(VLOOKUP(AD690,TD!$J$70:$K$93,2,0)," ")</f>
        <v>PM/0131/0114/45030140255</v>
      </c>
      <c r="AG690" s="130" t="s">
        <v>94</v>
      </c>
      <c r="AH690" s="182" t="s">
        <v>194</v>
      </c>
      <c r="AI690" s="184" t="str">
        <f>CONCATENATE(PAA[[#This Row],[Id Interno]],"-",PAA[[#This Row],[tipo de Contrato (TH talento humano - B/S bienes y/o servicios)]],"-",S690,"-",T690,"-",PAA[[#This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91" spans="2:35" ht="112" x14ac:dyDescent="0.35">
      <c r="B691" s="97">
        <v>20260691</v>
      </c>
      <c r="C691" s="97" t="s">
        <v>973</v>
      </c>
      <c r="D691" s="97" t="s">
        <v>119</v>
      </c>
      <c r="E691" s="97" t="s">
        <v>402</v>
      </c>
      <c r="F691" s="97" t="s">
        <v>128</v>
      </c>
      <c r="G691" s="124" t="s">
        <v>382</v>
      </c>
      <c r="H691" s="150">
        <v>0</v>
      </c>
      <c r="I691" s="150">
        <v>0</v>
      </c>
      <c r="J691" s="114">
        <v>24494472</v>
      </c>
      <c r="K691" s="121" t="s">
        <v>398</v>
      </c>
      <c r="L691" s="164" t="s">
        <v>155</v>
      </c>
      <c r="M691" s="171" t="s">
        <v>422</v>
      </c>
      <c r="N691" s="97" t="s">
        <v>198</v>
      </c>
      <c r="O691" s="171" t="s">
        <v>887</v>
      </c>
      <c r="P691" s="171" t="s">
        <v>162</v>
      </c>
      <c r="Q691" s="123" t="s">
        <v>335</v>
      </c>
      <c r="R691" s="171" t="s">
        <v>216</v>
      </c>
      <c r="S691" s="166" t="str">
        <f>MID(PAA[[#This Row],[Meta Proyecto de Inversión]],1,4)</f>
        <v>8173</v>
      </c>
      <c r="T691" s="166" t="str">
        <f>MID(PAA[[#This Row],[Meta Proyecto de Inversión]],6,2)</f>
        <v>7-</v>
      </c>
      <c r="U691" s="172" t="str">
        <f>IFERROR(VLOOKUP(N691,TD!$B$54:$F$58,2,0)," ")</f>
        <v>O230117</v>
      </c>
      <c r="V691" s="172" t="str">
        <f>IFERROR(VLOOKUP(N691,TD!$B$54:$F$58,3,0)," ")</f>
        <v>4503</v>
      </c>
      <c r="W691" s="172">
        <f>IFERROR(VLOOKUP(N691,TD!$B$54:$F$58,4,0)," ")</f>
        <v>20240255</v>
      </c>
      <c r="X691" s="186">
        <v>14</v>
      </c>
      <c r="Y691" s="172" t="str">
        <f>IFERROR(VLOOKUP(X691,TD!$J$55:$K$68,2,0)," ")</f>
        <v xml:space="preserve">Infraestructura física misional construida mantenida y dotada </v>
      </c>
      <c r="Z691" s="180" t="str">
        <f>CONCATENATE(X691,"-",Y691)</f>
        <v xml:space="preserve">14-Infraestructura física misional construida mantenida y dotada </v>
      </c>
      <c r="AA691" s="186" t="s">
        <v>225</v>
      </c>
      <c r="AB691" s="172" t="str">
        <f>IFERROR(VLOOKUP(AA691,TD!$N$55:$O$70,2,0)," ")</f>
        <v>Estaciones de bomberos adecuadas</v>
      </c>
      <c r="AC691" s="168" t="str">
        <f>CONCATENATE(AA691,"_",AB691)</f>
        <v>014_Estaciones de bomberos adecuadas</v>
      </c>
      <c r="AD691" s="168" t="str">
        <f>CONCATENATE(Z691," ",AC691)</f>
        <v>14-Infraestructura física misional construida mantenida y dotada  014_Estaciones de bomberos adecuadas</v>
      </c>
      <c r="AE691" s="172" t="str">
        <f>CONCATENATE(U691,V691,W691,X691,AA691)</f>
        <v>O23011745032024025514014</v>
      </c>
      <c r="AF691" s="172" t="str">
        <f>IFERROR(VLOOKUP(AD691,TD!$J$70:$K$93,2,0)," ")</f>
        <v>PM/0131/0114/45030140255</v>
      </c>
      <c r="AG691" s="130" t="s">
        <v>94</v>
      </c>
      <c r="AH691" s="182" t="s">
        <v>194</v>
      </c>
      <c r="AI691" s="184" t="str">
        <f>CONCATENATE(PAA[[#This Row],[Id Interno]],"-",PAA[[#This Row],[tipo de Contrato (TH talento humano - B/S bienes y/o servicios)]],"-",S691,"-",T691,"-",PAA[[#This Row],[Objeto de la contratación]])</f>
        <v xml:space="preserve">20260691-BS-8173-7--Reconocimiento y pago Pasivo Exigible FERIAS </v>
      </c>
    </row>
    <row r="692" spans="2:35" ht="56" x14ac:dyDescent="0.35">
      <c r="B692" s="23">
        <v>20260693</v>
      </c>
      <c r="C692" s="97" t="s">
        <v>978</v>
      </c>
      <c r="D692" s="23" t="s">
        <v>83</v>
      </c>
      <c r="E692" s="23" t="s">
        <v>402</v>
      </c>
      <c r="F692" s="23" t="s">
        <v>136</v>
      </c>
      <c r="G692" s="124" t="s">
        <v>376</v>
      </c>
      <c r="H692" s="131">
        <v>1</v>
      </c>
      <c r="I692" s="131">
        <v>0</v>
      </c>
      <c r="J692" s="122">
        <v>19998433</v>
      </c>
      <c r="K692" s="88" t="s">
        <v>398</v>
      </c>
      <c r="L692" s="163" t="s">
        <v>155</v>
      </c>
      <c r="M692" s="166" t="s">
        <v>422</v>
      </c>
      <c r="N692" s="23" t="s">
        <v>197</v>
      </c>
      <c r="O692" s="166" t="s">
        <v>886</v>
      </c>
      <c r="P692" s="166" t="s">
        <v>348</v>
      </c>
      <c r="Q692" s="53" t="s">
        <v>736</v>
      </c>
      <c r="R692" s="166" t="s">
        <v>207</v>
      </c>
      <c r="S692" s="166" t="str">
        <f>MID(PAA[[#This Row],[Meta Proyecto de Inversión]],1,4)</f>
        <v>8126</v>
      </c>
      <c r="T692" s="166" t="str">
        <f>MID(PAA[[#This Row],[Meta Proyecto de Inversión]],6,2)</f>
        <v>8-</v>
      </c>
      <c r="U692" s="167" t="str">
        <f>IFERROR(VLOOKUP(N692,TD!$B$54:$F$58,2,0)," ")</f>
        <v>O230117</v>
      </c>
      <c r="V692" s="167" t="str">
        <f>IFERROR(VLOOKUP(N692,TD!$B$54:$F$58,3,0)," ")</f>
        <v>4599</v>
      </c>
      <c r="W692" s="167">
        <f>IFERROR(VLOOKUP(N692,TD!$B$54:$F$58,4,0)," ")</f>
        <v>20240207</v>
      </c>
      <c r="X692" s="186" t="s">
        <v>174</v>
      </c>
      <c r="Y692" s="172" t="str">
        <f>IFERROR(VLOOKUP(X692,TD!$J$55:$K$68,2,0)," ")</f>
        <v>Infraestructura física, mantenimiento y dotación (Sedes construidas, mantenidas reforzadas)</v>
      </c>
      <c r="Z692" s="180" t="str">
        <f>CONCATENATE(X692,"-",Y692)</f>
        <v>08-Infraestructura física, mantenimiento y dotación (Sedes construidas, mantenidas reforzadas)</v>
      </c>
      <c r="AA692" s="186" t="s">
        <v>227</v>
      </c>
      <c r="AB692" s="172" t="str">
        <f>IFERROR(VLOOKUP(AA692,TD!$N$55:$O$70,2,0)," ")</f>
        <v>Sedes mantenidas</v>
      </c>
      <c r="AC692" s="168" t="str">
        <f>CONCATENATE(AA692,"_",AB692)</f>
        <v>016_Sedes mantenidas</v>
      </c>
      <c r="AD692" s="168" t="str">
        <f>CONCATENATE(Z692," ",AC692)</f>
        <v>08-Infraestructura física, mantenimiento y dotación (Sedes construidas, mantenidas reforzadas) 016_Sedes mantenidas</v>
      </c>
      <c r="AE692" s="167" t="str">
        <f>CONCATENATE(U692,V692,W692,X692,AA692)</f>
        <v>O23011745992024020708016</v>
      </c>
      <c r="AF692" s="172" t="str">
        <f>IFERROR(VLOOKUP(AD692,TD!$J$70:$K$93,2,0)," ")</f>
        <v>PM/0131/0108/45990160207</v>
      </c>
      <c r="AG692" s="130" t="s">
        <v>80</v>
      </c>
      <c r="AH692" s="175" t="s">
        <v>194</v>
      </c>
      <c r="AI692" s="184" t="str">
        <f>CONCATENATE(PAA[[#This Row],[Id Interno]],"-",PAA[[#This Row],[tipo de Contrato (TH talento humano - B/S bienes y/o servicios)]],"-",S692,"-",T692,"-",PAA[[#This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693" spans="2:35" ht="56" x14ac:dyDescent="0.35">
      <c r="B693" s="23">
        <v>20260694</v>
      </c>
      <c r="C693" s="97" t="s">
        <v>984</v>
      </c>
      <c r="D693" s="23" t="s">
        <v>92</v>
      </c>
      <c r="E693" s="23" t="s">
        <v>402</v>
      </c>
      <c r="F693" s="23" t="s">
        <v>101</v>
      </c>
      <c r="G693" s="124" t="s">
        <v>376</v>
      </c>
      <c r="H693" s="131">
        <v>1</v>
      </c>
      <c r="I693" s="131">
        <v>0</v>
      </c>
      <c r="J693" s="122">
        <v>14994479</v>
      </c>
      <c r="K693" s="88" t="s">
        <v>398</v>
      </c>
      <c r="L693" s="163" t="s">
        <v>155</v>
      </c>
      <c r="M693" s="166" t="s">
        <v>422</v>
      </c>
      <c r="N693" s="23" t="s">
        <v>198</v>
      </c>
      <c r="O693" s="166" t="s">
        <v>887</v>
      </c>
      <c r="P693" s="166" t="s">
        <v>348</v>
      </c>
      <c r="Q693" s="53" t="s">
        <v>979</v>
      </c>
      <c r="R693" s="166" t="s">
        <v>351</v>
      </c>
      <c r="S693" s="166" t="str">
        <f>MID(PAA[[#This Row],[Meta Proyecto de Inversión]],1,4)</f>
        <v>8173</v>
      </c>
      <c r="T693" s="166" t="str">
        <f>MID(PAA[[#This Row],[Meta Proyecto de Inversión]],6,2)</f>
        <v>11</v>
      </c>
      <c r="U693" s="167" t="str">
        <f>IFERROR(VLOOKUP(N693,TD!$B$54:$F$58,2,0)," ")</f>
        <v>O230117</v>
      </c>
      <c r="V693" s="167" t="str">
        <f>IFERROR(VLOOKUP(N693,TD!$B$54:$F$58,3,0)," ")</f>
        <v>4503</v>
      </c>
      <c r="W693" s="167">
        <f>IFERROR(VLOOKUP(N693,TD!$B$54:$F$58,4,0)," ")</f>
        <v>20240255</v>
      </c>
      <c r="X693" s="174">
        <v>14</v>
      </c>
      <c r="Y693" s="172" t="str">
        <f>IFERROR(VLOOKUP(X693,TD!$J$55:$K$68,2,0)," ")</f>
        <v xml:space="preserve">Infraestructura física misional construida mantenida y dotada </v>
      </c>
      <c r="Z693" s="180" t="str">
        <f>CONCATENATE(X693,"-",Y693)</f>
        <v xml:space="preserve">14-Infraestructura física misional construida mantenida y dotada </v>
      </c>
      <c r="AA693" s="174" t="s">
        <v>225</v>
      </c>
      <c r="AB693" s="172" t="str">
        <f>IFERROR(VLOOKUP(AA693,TD!$N$55:$O$70,2,0)," ")</f>
        <v>Estaciones de bomberos adecuadas</v>
      </c>
      <c r="AC693" s="168" t="str">
        <f>CONCATENATE(AA693,"_",AB693)</f>
        <v>014_Estaciones de bomberos adecuadas</v>
      </c>
      <c r="AD693" s="168" t="str">
        <f>CONCATENATE(Z693," ",AC693)</f>
        <v>14-Infraestructura física misional construida mantenida y dotada  014_Estaciones de bomberos adecuadas</v>
      </c>
      <c r="AE693" s="167" t="str">
        <f>CONCATENATE(U693,V693,W693,X693,AA693)</f>
        <v>O23011745032024025514014</v>
      </c>
      <c r="AF693" s="172" t="str">
        <f>IFERROR(VLOOKUP(AD693,TD!$J$70:$K$93,2,0)," ")</f>
        <v>PM/0131/0114/45030140255</v>
      </c>
      <c r="AG693" s="130" t="s">
        <v>356</v>
      </c>
      <c r="AH693" s="175" t="s">
        <v>194</v>
      </c>
      <c r="AI693" s="184" t="str">
        <f>CONCATENATE(PAA[[#This Row],[Id Interno]],"-",PAA[[#This Row],[tipo de Contrato (TH talento humano - B/S bienes y/o servicios)]],"-",S693,"-",T693,"-",PAA[[#This Row],[Objeto de la contratación]])</f>
        <v>20260694-BS-8173-11-Adición y prorroga No. 1 al contrato 713 de 2025 que tiene como objeto “Adquisición de elementos de menaje para la UAECOB-SGC"</v>
      </c>
    </row>
    <row r="694" spans="2:35" ht="56" x14ac:dyDescent="0.35">
      <c r="B694" s="23">
        <v>20260695</v>
      </c>
      <c r="C694" s="97" t="s">
        <v>939</v>
      </c>
      <c r="D694" s="23" t="s">
        <v>105</v>
      </c>
      <c r="E694" s="23" t="s">
        <v>363</v>
      </c>
      <c r="F694" s="23" t="s">
        <v>144</v>
      </c>
      <c r="G694" s="124" t="s">
        <v>379</v>
      </c>
      <c r="H694" s="131">
        <v>7</v>
      </c>
      <c r="I694" s="131">
        <v>0</v>
      </c>
      <c r="J694" s="122">
        <v>0</v>
      </c>
      <c r="K694" s="88" t="s">
        <v>398</v>
      </c>
      <c r="L694" s="163" t="s">
        <v>158</v>
      </c>
      <c r="M694" s="166" t="s">
        <v>421</v>
      </c>
      <c r="N694" s="23" t="s">
        <v>198</v>
      </c>
      <c r="O694" s="166" t="s">
        <v>887</v>
      </c>
      <c r="P694" s="166" t="s">
        <v>348</v>
      </c>
      <c r="Q694" s="53">
        <v>80111600</v>
      </c>
      <c r="R694" s="166" t="s">
        <v>211</v>
      </c>
      <c r="S694" s="166" t="str">
        <f>MID(PAA[[#This Row],[Meta Proyecto de Inversión]],1,4)</f>
        <v>8173</v>
      </c>
      <c r="T694" s="166" t="str">
        <f>MID(PAA[[#This Row],[Meta Proyecto de Inversión]],6,2)</f>
        <v>2-</v>
      </c>
      <c r="U694" s="167" t="str">
        <f>IFERROR(VLOOKUP(N694,TD!$B$54:$F$58,2,0)," ")</f>
        <v>O230117</v>
      </c>
      <c r="V694" s="167" t="str">
        <f>IFERROR(VLOOKUP(N694,TD!$B$54:$F$58,3,0)," ")</f>
        <v>4503</v>
      </c>
      <c r="W694" s="167">
        <f>IFERROR(VLOOKUP(N694,TD!$B$54:$F$58,4,0)," ")</f>
        <v>20240255</v>
      </c>
      <c r="X694" s="174" t="s">
        <v>164</v>
      </c>
      <c r="Y694" s="172" t="str">
        <f>IFERROR(VLOOKUP(X694,TD!$J$55:$K$68,2,0)," ")</f>
        <v>Servicio de atención a incidentes y emergencias.</v>
      </c>
      <c r="Z694" s="180" t="str">
        <f>CONCATENATE(X694,"-",Y694)</f>
        <v>04-Servicio de atención a incidentes y emergencias.</v>
      </c>
      <c r="AA694" s="174" t="s">
        <v>221</v>
      </c>
      <c r="AB694" s="172" t="str">
        <f>IFERROR(VLOOKUP(AA694,TD!$N$55:$O$70,2,0)," ")</f>
        <v>Servicio de atención a emergencias y desastres</v>
      </c>
      <c r="AC694" s="168" t="str">
        <f>CONCATENATE(AA694,"_",AB694)</f>
        <v>004_Servicio de atención a emergencias y desastres</v>
      </c>
      <c r="AD694" s="168" t="str">
        <f>CONCATENATE(Z694," ",AC694)</f>
        <v>04-Servicio de atención a incidentes y emergencias. 004_Servicio de atención a emergencias y desastres</v>
      </c>
      <c r="AE694" s="167" t="str">
        <f>CONCATENATE(U694,V694,W694,X694,AA694)</f>
        <v>O23011745032024025504004</v>
      </c>
      <c r="AF694" s="172" t="str">
        <f>IFERROR(VLOOKUP(AD694,TD!$J$70:$K$93,2,0)," ")</f>
        <v>PM/0131/0104/45030040255</v>
      </c>
      <c r="AG694" s="130" t="s">
        <v>385</v>
      </c>
      <c r="AH694" s="175" t="s">
        <v>193</v>
      </c>
      <c r="AI694" s="184" t="str">
        <f>CONCATENATE(PAA[[#This Row],[Id Interno]],"-",PAA[[#This Row],[tipo de Contrato (TH talento humano - B/S bienes y/o servicios)]],"-",S694,"-",T694,"-",PAA[[#This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695" spans="2:35" ht="56" x14ac:dyDescent="0.35">
      <c r="B695" s="97">
        <v>20260696</v>
      </c>
      <c r="C695" s="97" t="s">
        <v>980</v>
      </c>
      <c r="D695" s="97" t="s">
        <v>92</v>
      </c>
      <c r="E695" s="97" t="s">
        <v>402</v>
      </c>
      <c r="F695" s="97" t="s">
        <v>101</v>
      </c>
      <c r="G695" s="124" t="s">
        <v>379</v>
      </c>
      <c r="H695" s="150">
        <v>3</v>
      </c>
      <c r="I695" s="150">
        <v>0</v>
      </c>
      <c r="J695" s="114">
        <v>48000000</v>
      </c>
      <c r="K695" s="121" t="s">
        <v>398</v>
      </c>
      <c r="L695" s="164" t="s">
        <v>158</v>
      </c>
      <c r="M695" s="171" t="s">
        <v>421</v>
      </c>
      <c r="N695" s="97" t="s">
        <v>198</v>
      </c>
      <c r="O695" s="171" t="s">
        <v>887</v>
      </c>
      <c r="P695" s="171" t="s">
        <v>348</v>
      </c>
      <c r="Q695" s="123">
        <v>10101500</v>
      </c>
      <c r="R695" s="171" t="s">
        <v>211</v>
      </c>
      <c r="S695" s="168" t="str">
        <f>MID(PAA[[#This Row],[Meta Proyecto de Inversión]],1,4)</f>
        <v>8173</v>
      </c>
      <c r="T695" s="168" t="str">
        <f>MID(PAA[[#This Row],[Meta Proyecto de Inversión]],6,2)</f>
        <v>2-</v>
      </c>
      <c r="U695" s="172" t="str">
        <f>IFERROR(VLOOKUP(N695,TD!$B$54:$F$58,2,0)," ")</f>
        <v>O230117</v>
      </c>
      <c r="V695" s="172" t="str">
        <f>IFERROR(VLOOKUP(N695,TD!$B$54:$F$58,3,0)," ")</f>
        <v>4503</v>
      </c>
      <c r="W695" s="172">
        <f>IFERROR(VLOOKUP(N695,TD!$B$54:$F$58,4,0)," ")</f>
        <v>20240255</v>
      </c>
      <c r="X695" s="186" t="s">
        <v>178</v>
      </c>
      <c r="Y695" s="172" t="str">
        <f>IFERROR(VLOOKUP(X695,TD!$J$55:$K$68,2,0)," ")</f>
        <v>Servicio de dotación y equipamento para el personal operativo</v>
      </c>
      <c r="Z695" s="180" t="str">
        <f>CONCATENATE(X695,"-",Y695)</f>
        <v>10-Servicio de dotación y equipamento para el personal operativo</v>
      </c>
      <c r="AA695" s="186" t="s">
        <v>221</v>
      </c>
      <c r="AB695" s="172" t="str">
        <f>IFERROR(VLOOKUP(AA695,TD!$N$55:$O$70,2,0)," ")</f>
        <v>Servicio de atención a emergencias y desastres</v>
      </c>
      <c r="AC695" s="168" t="str">
        <f>CONCATENATE(AA695,"_",AB695)</f>
        <v>004_Servicio de atención a emergencias y desastres</v>
      </c>
      <c r="AD695" s="168" t="str">
        <f>CONCATENATE(Z695," ",AC695)</f>
        <v>10-Servicio de dotación y equipamento para el personal operativo 004_Servicio de atención a emergencias y desastres</v>
      </c>
      <c r="AE695" s="172" t="str">
        <f>CONCATENATE(U695,V695,W695,X695,AA695)</f>
        <v>O23011745032024025510004</v>
      </c>
      <c r="AF695" s="172" t="str">
        <f>IFERROR(VLOOKUP(AD695,TD!$J$70:$K$93,2,0)," ")</f>
        <v>PM/0131/0110/45030040255</v>
      </c>
      <c r="AG695" s="130" t="s">
        <v>1137</v>
      </c>
      <c r="AH695" s="182" t="s">
        <v>193</v>
      </c>
      <c r="AI695" s="184" t="str">
        <f>CONCATENATE(PAA[[#This Row],[Id Interno]],"-",PAA[[#This Row],[tipo de Contrato (TH talento humano - B/S bienes y/o servicios)]],"-",S695,"-",T695,"-",PAA[[#This Row],[Objeto de la contratación]])</f>
        <v>20260696-BS-8173-2--Adquisición de semovientes caninos para el grupo BRAE, destinados al entrenamiento de búsqueda y localización cinotécnica   para la atención de emergencias de la UAE Cuerpo Oficial de Bomberos de Bogota, s.o.</v>
      </c>
    </row>
    <row r="696" spans="2:35" ht="56" x14ac:dyDescent="0.35">
      <c r="B696" s="97">
        <v>20260698</v>
      </c>
      <c r="C696" s="97" t="s">
        <v>981</v>
      </c>
      <c r="D696" s="97" t="s">
        <v>105</v>
      </c>
      <c r="E696" s="97" t="s">
        <v>402</v>
      </c>
      <c r="F696" s="97" t="s">
        <v>89</v>
      </c>
      <c r="G696" s="124" t="s">
        <v>378</v>
      </c>
      <c r="H696" s="150">
        <v>4</v>
      </c>
      <c r="I696" s="150">
        <v>0</v>
      </c>
      <c r="J696" s="114">
        <v>160000000</v>
      </c>
      <c r="K696" s="121" t="s">
        <v>398</v>
      </c>
      <c r="L696" s="164" t="s">
        <v>157</v>
      </c>
      <c r="M696" s="171" t="s">
        <v>483</v>
      </c>
      <c r="N696" s="97" t="s">
        <v>198</v>
      </c>
      <c r="O696" s="171" t="s">
        <v>887</v>
      </c>
      <c r="P696" s="171" t="s">
        <v>348</v>
      </c>
      <c r="Q696" s="123">
        <v>72101509</v>
      </c>
      <c r="R696" s="171" t="s">
        <v>213</v>
      </c>
      <c r="S696" s="171" t="str">
        <f>MID(PAA[[#This Row],[Meta Proyecto de Inversión]],1,4)</f>
        <v>8173</v>
      </c>
      <c r="T696" s="171" t="str">
        <f>MID(PAA[[#This Row],[Meta Proyecto de Inversión]],6,2)</f>
        <v>4-</v>
      </c>
      <c r="U696" s="172" t="str">
        <f>IFERROR(VLOOKUP(N696,TD!$B$54:$F$58,2,0)," ")</f>
        <v>O230117</v>
      </c>
      <c r="V696" s="172" t="str">
        <f>IFERROR(VLOOKUP(N696,TD!$B$54:$F$58,3,0)," ")</f>
        <v>4503</v>
      </c>
      <c r="W696" s="172">
        <f>IFERROR(VLOOKUP(N696,TD!$B$54:$F$58,4,0)," ")</f>
        <v>20240255</v>
      </c>
      <c r="X696" s="186" t="s">
        <v>176</v>
      </c>
      <c r="Y696" s="172" t="str">
        <f>IFERROR(VLOOKUP(X696,TD!$J$55:$K$68,2,0)," ")</f>
        <v>Servicio de mantenimiento, dotación (HEA´s y equipo menor) y adquisición de vehiculos   especializados para la atención de emergencias.</v>
      </c>
      <c r="Z696" s="186" t="str">
        <f>CONCATENATE(X696,"-",Y696)</f>
        <v>09-Servicio de mantenimiento, dotación (HEA´s y equipo menor) y adquisición de vehiculos   especializados para la atención de emergencias.</v>
      </c>
      <c r="AA696" s="186" t="s">
        <v>221</v>
      </c>
      <c r="AB696" s="172" t="str">
        <f>IFERROR(VLOOKUP(AA696,TD!$N$55:$O$70,2,0)," ")</f>
        <v>Servicio de atención a emergencias y desastres</v>
      </c>
      <c r="AC696" s="171" t="str">
        <f>CONCATENATE(AA696,"_",AB696)</f>
        <v>004_Servicio de atención a emergencias y desastres</v>
      </c>
      <c r="AD696" s="171" t="str">
        <f>CONCATENATE(Z696," ",AC696)</f>
        <v>09-Servicio de mantenimiento, dotación (HEA´s y equipo menor) y adquisición de vehiculos   especializados para la atención de emergencias. 004_Servicio de atención a emergencias y desastres</v>
      </c>
      <c r="AE696" s="172" t="str">
        <f>CONCATENATE(U696,V696,W696,X696,AA696)</f>
        <v>O23011745032024025509004</v>
      </c>
      <c r="AF696" s="172" t="str">
        <f>IFERROR(VLOOKUP(AD696,TD!$J$70:$K$93,2,0)," ")</f>
        <v>PM/0131/0109/45030040255</v>
      </c>
      <c r="AG696" s="130" t="s">
        <v>80</v>
      </c>
      <c r="AH696" s="182" t="s">
        <v>193</v>
      </c>
      <c r="AI696" s="184" t="str">
        <f>CONCATENATE(PAA[[#This Row],[Id Interno]],"-",PAA[[#This Row],[tipo de Contrato (TH talento humano - B/S bienes y/o servicios)]],"-",S696,"-",T696,"-",PAA[[#This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697" spans="2:35" ht="56" x14ac:dyDescent="0.35">
      <c r="B697" s="23">
        <v>20260700</v>
      </c>
      <c r="C697" s="97" t="s">
        <v>982</v>
      </c>
      <c r="D697" s="23" t="s">
        <v>105</v>
      </c>
      <c r="E697" s="23" t="s">
        <v>402</v>
      </c>
      <c r="F697" s="23" t="s">
        <v>130</v>
      </c>
      <c r="G697" s="124" t="s">
        <v>377</v>
      </c>
      <c r="H697" s="131">
        <v>3</v>
      </c>
      <c r="I697" s="131">
        <v>0</v>
      </c>
      <c r="J697" s="122">
        <v>50700000</v>
      </c>
      <c r="K697" s="88" t="s">
        <v>398</v>
      </c>
      <c r="L697" s="163" t="s">
        <v>151</v>
      </c>
      <c r="M697" s="166" t="s">
        <v>401</v>
      </c>
      <c r="N697" s="23" t="s">
        <v>197</v>
      </c>
      <c r="O697" s="166" t="s">
        <v>886</v>
      </c>
      <c r="P697" s="166" t="s">
        <v>348</v>
      </c>
      <c r="Q697" s="53" t="s">
        <v>983</v>
      </c>
      <c r="R697" s="166" t="s">
        <v>203</v>
      </c>
      <c r="S697" s="166" t="str">
        <f>MID(PAA[[#This Row],[Meta Proyecto de Inversión]],1,4)</f>
        <v>8126</v>
      </c>
      <c r="T697" s="166" t="str">
        <f>MID(PAA[[#This Row],[Meta Proyecto de Inversión]],6,2)</f>
        <v>4-</v>
      </c>
      <c r="U697" s="167" t="str">
        <f>IFERROR(VLOOKUP(N697,TD!$B$54:$F$58,2,0)," ")</f>
        <v>O230117</v>
      </c>
      <c r="V697" s="167" t="str">
        <f>IFERROR(VLOOKUP(N697,TD!$B$54:$F$58,3,0)," ")</f>
        <v>4599</v>
      </c>
      <c r="W697" s="167">
        <f>IFERROR(VLOOKUP(N697,TD!$B$54:$F$58,4,0)," ")</f>
        <v>20240207</v>
      </c>
      <c r="X697" s="174" t="s">
        <v>168</v>
      </c>
      <c r="Y697" s="172" t="str">
        <f>IFERROR(VLOOKUP(X697,TD!$J$55:$K$68,2,0)," ")</f>
        <v>Infraestructura Tecnológica   (Sistemas de Información y Tecnologia)</v>
      </c>
      <c r="Z697" s="180" t="str">
        <f>CONCATENATE(X697,"-",Y697)</f>
        <v>11-Infraestructura Tecnológica   (Sistemas de Información y Tecnologia)</v>
      </c>
      <c r="AA697" s="174" t="s">
        <v>228</v>
      </c>
      <c r="AB697" s="172" t="str">
        <f>IFERROR(VLOOKUP(AA697,TD!$N$55:$O$70,2,0)," ")</f>
        <v>Servicios tecnológicos</v>
      </c>
      <c r="AC697" s="168" t="str">
        <f>CONCATENATE(AA697,"_",AB697)</f>
        <v>007_Servicios tecnológicos</v>
      </c>
      <c r="AD697" s="168" t="str">
        <f>CONCATENATE(Z697," ",AC697)</f>
        <v>11-Infraestructura Tecnológica   (Sistemas de Información y Tecnologia) 007_Servicios tecnológicos</v>
      </c>
      <c r="AE697" s="167" t="str">
        <f>CONCATENATE(U697,V697,W697,X697,AA697)</f>
        <v>O23011745992024020711007</v>
      </c>
      <c r="AF697" s="172" t="str">
        <f>IFERROR(VLOOKUP(AD697,TD!$J$70:$K$93,2,0)," ")</f>
        <v>PM/0131/0111/45990070207</v>
      </c>
      <c r="AG697" s="130" t="s">
        <v>116</v>
      </c>
      <c r="AH697" s="175" t="s">
        <v>194</v>
      </c>
      <c r="AI697" s="184" t="str">
        <f>CONCATENATE(PAA[[#This Row],[Id Interno]],"-",PAA[[#This Row],[tipo de Contrato (TH talento humano - B/S bienes y/o servicios)]],"-",S697,"-",T697,"-",PAA[[#This Row],[Objeto de la contratación]])</f>
        <v>20260700-BS-8126-4--Adición y prórroga del contrato 253-2025 cuyo objeto es: Contratar el servicio de soporte y mantenimiento del sistema de gestión documental para la UAE Cuerpo Oficial de Bomberos de Bogotá- TIC.</v>
      </c>
    </row>
    <row r="698" spans="2:35" ht="56" x14ac:dyDescent="0.35">
      <c r="B698" s="23">
        <v>20260701</v>
      </c>
      <c r="C698" s="97" t="s">
        <v>985</v>
      </c>
      <c r="D698" s="23" t="s">
        <v>105</v>
      </c>
      <c r="E698" s="23" t="s">
        <v>363</v>
      </c>
      <c r="F698" s="23" t="s">
        <v>144</v>
      </c>
      <c r="G698" s="124" t="s">
        <v>377</v>
      </c>
      <c r="H698" s="131">
        <v>2</v>
      </c>
      <c r="I698" s="131">
        <v>0</v>
      </c>
      <c r="J698" s="122">
        <v>14000000</v>
      </c>
      <c r="K698" s="88" t="s">
        <v>398</v>
      </c>
      <c r="L698" s="163" t="s">
        <v>46</v>
      </c>
      <c r="M698" s="166" t="s">
        <v>1228</v>
      </c>
      <c r="N698" s="23" t="s">
        <v>197</v>
      </c>
      <c r="O698" s="166" t="s">
        <v>886</v>
      </c>
      <c r="P698" s="166" t="s">
        <v>348</v>
      </c>
      <c r="Q698" s="53">
        <v>80111600</v>
      </c>
      <c r="R698" s="166" t="s">
        <v>208</v>
      </c>
      <c r="S698" s="166" t="str">
        <f>MID(PAA[[#This Row],[Meta Proyecto de Inversión]],1,4)</f>
        <v>8126</v>
      </c>
      <c r="T698" s="166" t="str">
        <f>MID(PAA[[#This Row],[Meta Proyecto de Inversión]],6,2)</f>
        <v>9-</v>
      </c>
      <c r="U698" s="167" t="str">
        <f>IFERROR(VLOOKUP(N698,TD!$B$54:$F$58,2,0)," ")</f>
        <v>O230117</v>
      </c>
      <c r="V698" s="167" t="str">
        <f>IFERROR(VLOOKUP(N698,TD!$B$54:$F$58,3,0)," ")</f>
        <v>4599</v>
      </c>
      <c r="W698" s="167">
        <f>IFERROR(VLOOKUP(N698,TD!$B$54:$F$58,4,0)," ")</f>
        <v>20240207</v>
      </c>
      <c r="X698" s="174" t="s">
        <v>174</v>
      </c>
      <c r="Y698" s="172" t="str">
        <f>IFERROR(VLOOKUP(X698,TD!$J$55:$K$68,2,0)," ")</f>
        <v>Infraestructura física, mantenimiento y dotación (Sedes construidas, mantenidas reforzadas)</v>
      </c>
      <c r="Z698" s="180" t="str">
        <f>CONCATENATE(X698,"-",Y698)</f>
        <v>08-Infraestructura física, mantenimiento y dotación (Sedes construidas, mantenidas reforzadas)</v>
      </c>
      <c r="AA698" s="174" t="s">
        <v>227</v>
      </c>
      <c r="AB698" s="172" t="str">
        <f>IFERROR(VLOOKUP(AA698,TD!$N$55:$O$70,2,0)," ")</f>
        <v>Sedes mantenidas</v>
      </c>
      <c r="AC698" s="168" t="str">
        <f>CONCATENATE(AA698,"_",AB698)</f>
        <v>016_Sedes mantenidas</v>
      </c>
      <c r="AD698" s="168" t="str">
        <f>CONCATENATE(Z698," ",AC698)</f>
        <v>08-Infraestructura física, mantenimiento y dotación (Sedes construidas, mantenidas reforzadas) 016_Sedes mantenidas</v>
      </c>
      <c r="AE698" s="167" t="str">
        <f>CONCATENATE(U698,V698,W698,X698,AA698)</f>
        <v>O23011745992024020708016</v>
      </c>
      <c r="AF698" s="172" t="str">
        <f>IFERROR(VLOOKUP(AD698,TD!$J$70:$K$93,2,0)," ")</f>
        <v>PM/0131/0108/45990160207</v>
      </c>
      <c r="AG698" s="130" t="s">
        <v>385</v>
      </c>
      <c r="AH698" s="175" t="s">
        <v>194</v>
      </c>
      <c r="AI698" s="184" t="str">
        <f>CONCATENATE(PAA[[#This Row],[Id Interno]],"-",PAA[[#This Row],[tipo de Contrato (TH talento humano - B/S bienes y/o servicios)]],"-",S698,"-",T698,"-",PAA[[#This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699" spans="2:35" ht="70" x14ac:dyDescent="0.35">
      <c r="B699" s="23">
        <v>20260703</v>
      </c>
      <c r="C699" s="97" t="s">
        <v>955</v>
      </c>
      <c r="D699" s="23" t="s">
        <v>114</v>
      </c>
      <c r="E699" s="23" t="s">
        <v>402</v>
      </c>
      <c r="F699" s="23" t="s">
        <v>89</v>
      </c>
      <c r="G699" s="124" t="s">
        <v>377</v>
      </c>
      <c r="H699" s="131">
        <v>12</v>
      </c>
      <c r="I699" s="131">
        <v>0</v>
      </c>
      <c r="J699" s="122">
        <v>640816367</v>
      </c>
      <c r="K699" s="88" t="s">
        <v>398</v>
      </c>
      <c r="L699" s="163" t="s">
        <v>151</v>
      </c>
      <c r="M699" s="166" t="s">
        <v>401</v>
      </c>
      <c r="N699" s="23" t="s">
        <v>330</v>
      </c>
      <c r="O699" s="166" t="s">
        <v>886</v>
      </c>
      <c r="P699" s="166" t="s">
        <v>161</v>
      </c>
      <c r="Q699" s="53" t="s">
        <v>956</v>
      </c>
      <c r="R699" s="166" t="s">
        <v>331</v>
      </c>
      <c r="S699" s="166" t="str">
        <f>MID(PAA[[#This Row],[Meta Proyecto de Inversión]],1,4)</f>
        <v>No a</v>
      </c>
      <c r="T699" s="166" t="str">
        <f>MID(PAA[[#This Row],[Meta Proyecto de Inversión]],6,2)</f>
        <v>li</v>
      </c>
      <c r="U699" s="167" t="str">
        <f>IFERROR(VLOOKUP(N699,TD!$B$54:$F$58,2,0)," ")</f>
        <v>NA</v>
      </c>
      <c r="V699" s="167" t="str">
        <f>IFERROR(VLOOKUP(N699,TD!$B$54:$F$58,3,0)," ")</f>
        <v>NA</v>
      </c>
      <c r="W699" s="167" t="str">
        <f>IFERROR(VLOOKUP(N699,TD!$B$54:$F$58,4,0)," ")</f>
        <v>NA</v>
      </c>
      <c r="X699" s="174" t="s">
        <v>335</v>
      </c>
      <c r="Y699" s="172" t="str">
        <f>IFERROR(VLOOKUP(X699,TD!$J$55:$K$68,2,0)," ")</f>
        <v>N/A</v>
      </c>
      <c r="Z699" s="180" t="str">
        <f>CONCATENATE(X699,"-",Y699)</f>
        <v>N/A-N/A</v>
      </c>
      <c r="AA699" s="174" t="s">
        <v>335</v>
      </c>
      <c r="AB699" s="172" t="str">
        <f>IFERROR(VLOOKUP(AA699,TD!$N$55:$O$70,2,0)," ")</f>
        <v>N/A</v>
      </c>
      <c r="AC699" s="168" t="str">
        <f>CONCATENATE(AA699,"_",AB699)</f>
        <v>N/A_N/A</v>
      </c>
      <c r="AD699" s="168" t="str">
        <f>CONCATENATE(Z699," ",AC699)</f>
        <v>N/A-N/A N/A_N/A</v>
      </c>
      <c r="AE699" s="167" t="str">
        <f>CONCATENATE(U699,V699,W699,X699,AA699)</f>
        <v>NANANAN/AN/A</v>
      </c>
      <c r="AF699" s="172" t="str">
        <f>IFERROR(VLOOKUP(AD699,TD!$J$70:$K$93,2,0)," ")</f>
        <v>N/A</v>
      </c>
      <c r="AG699" s="130" t="s">
        <v>345</v>
      </c>
      <c r="AH699" s="175" t="s">
        <v>193</v>
      </c>
      <c r="AI699" s="184" t="str">
        <f>CONCATENATE(PAA[[#This Row],[Id Interno]],"-",PAA[[#This Row],[tipo de Contrato (TH talento humano - B/S bienes y/o servicios)]],"-",S699,"-",T699,"-",PAA[[#This Row],[Objeto de la contratación]])</f>
        <v>20260703-BS-No a-li-Contratar la adquisición, renovación y  suscripciones de licencia Microsoft y modulos de seguridad y vulnerabilidad para la U.A.E. Cuerpo Oficial de Bomberos de Bogotá - TIC</v>
      </c>
    </row>
    <row r="700" spans="2:35" ht="56" x14ac:dyDescent="0.35">
      <c r="B700" s="137">
        <v>20260705</v>
      </c>
      <c r="C700" s="117" t="s">
        <v>986</v>
      </c>
      <c r="D700" s="125" t="s">
        <v>88</v>
      </c>
      <c r="E700" s="125" t="s">
        <v>402</v>
      </c>
      <c r="F700" s="125" t="s">
        <v>111</v>
      </c>
      <c r="G700" s="126" t="s">
        <v>379</v>
      </c>
      <c r="H700" s="132">
        <v>12</v>
      </c>
      <c r="I700" s="132">
        <v>0</v>
      </c>
      <c r="J700" s="127">
        <v>205000000</v>
      </c>
      <c r="K700" s="128" t="s">
        <v>398</v>
      </c>
      <c r="L700" s="176" t="s">
        <v>151</v>
      </c>
      <c r="M700" s="174" t="s">
        <v>401</v>
      </c>
      <c r="N700" s="125" t="s">
        <v>330</v>
      </c>
      <c r="O700" s="174" t="s">
        <v>886</v>
      </c>
      <c r="P700" s="174" t="s">
        <v>161</v>
      </c>
      <c r="Q700" s="129">
        <v>44103100</v>
      </c>
      <c r="R700" s="174" t="s">
        <v>331</v>
      </c>
      <c r="S700" s="174" t="str">
        <f>MID(PAA[[#This Row],[Meta Proyecto de Inversión]],1,4)</f>
        <v>No a</v>
      </c>
      <c r="T700" s="174" t="str">
        <f>MID(PAA[[#This Row],[Meta Proyecto de Inversión]],6,2)</f>
        <v>li</v>
      </c>
      <c r="U700" s="179" t="str">
        <f>IFERROR(VLOOKUP(N700,TD!$B$54:$F$58,2,0)," ")</f>
        <v>NA</v>
      </c>
      <c r="V700" s="179" t="str">
        <f>IFERROR(VLOOKUP(N700,TD!$B$54:$F$58,3,0)," ")</f>
        <v>NA</v>
      </c>
      <c r="W700" s="179" t="str">
        <f>IFERROR(VLOOKUP(N700,TD!$B$54:$F$58,4,0)," ")</f>
        <v>NA</v>
      </c>
      <c r="X700" s="174" t="s">
        <v>335</v>
      </c>
      <c r="Y700" s="172" t="str">
        <f>IFERROR(VLOOKUP(X700,TD!$J$55:$K$68,2,0)," ")</f>
        <v>N/A</v>
      </c>
      <c r="Z700" s="180" t="str">
        <f>CONCATENATE(X700,"-",Y700)</f>
        <v>N/A-N/A</v>
      </c>
      <c r="AA700" s="174" t="s">
        <v>335</v>
      </c>
      <c r="AB700" s="172" t="str">
        <f>IFERROR(VLOOKUP(AA700,TD!$N$55:$O$70,2,0)," ")</f>
        <v>N/A</v>
      </c>
      <c r="AC700" s="180" t="str">
        <f>CONCATENATE(AA700,"_",AB700)</f>
        <v>N/A_N/A</v>
      </c>
      <c r="AD700" s="180" t="str">
        <f>CONCATENATE(Z700," ",AC700)</f>
        <v>N/A-N/A N/A_N/A</v>
      </c>
      <c r="AE700" s="179" t="str">
        <f>CONCATENATE(U700,V700,W700,X700,AA700)</f>
        <v>NANANAN/AN/A</v>
      </c>
      <c r="AF700" s="172" t="str">
        <f>IFERROR(VLOOKUP(AD700,TD!$J$70:$K$93,2,0)," ")</f>
        <v>N/A</v>
      </c>
      <c r="AG700" s="130" t="s">
        <v>345</v>
      </c>
      <c r="AH700" s="181" t="s">
        <v>193</v>
      </c>
      <c r="AI700" s="184" t="str">
        <f>CONCATENATE(PAA[[#This Row],[Id Interno]],"-",PAA[[#This Row],[tipo de Contrato (TH talento humano - B/S bienes y/o servicios)]],"-",S700,"-",T700,"-",PAA[[#This Row],[Objeto de la contratación]])</f>
        <v>20260705-BS-No a-li-Suministro de consumibles de impresión para el adecuado funcionamiento de las impresoras destinadas a cada una de las sedes de la UAE Cuerpo Oficial de Bomberos de Bogotá.</v>
      </c>
    </row>
    <row r="701" spans="2:35" ht="42" x14ac:dyDescent="0.35">
      <c r="B701" s="137">
        <v>20260707</v>
      </c>
      <c r="C701" s="117" t="s">
        <v>987</v>
      </c>
      <c r="D701" s="125" t="s">
        <v>105</v>
      </c>
      <c r="E701" s="125" t="s">
        <v>402</v>
      </c>
      <c r="F701" s="125" t="s">
        <v>138</v>
      </c>
      <c r="G701" s="126" t="s">
        <v>382</v>
      </c>
      <c r="H701" s="132">
        <v>12</v>
      </c>
      <c r="I701" s="132">
        <v>0</v>
      </c>
      <c r="J701" s="127">
        <v>19462500</v>
      </c>
      <c r="K701" s="128" t="s">
        <v>398</v>
      </c>
      <c r="L701" s="176" t="s">
        <v>151</v>
      </c>
      <c r="M701" s="174" t="s">
        <v>401</v>
      </c>
      <c r="N701" s="125" t="s">
        <v>330</v>
      </c>
      <c r="O701" s="174" t="s">
        <v>886</v>
      </c>
      <c r="P701" s="174" t="s">
        <v>161</v>
      </c>
      <c r="Q701" s="129" t="s">
        <v>988</v>
      </c>
      <c r="R701" s="174" t="s">
        <v>331</v>
      </c>
      <c r="S701" s="174" t="str">
        <f>MID(PAA[[#This Row],[Meta Proyecto de Inversión]],1,4)</f>
        <v>No a</v>
      </c>
      <c r="T701" s="174" t="str">
        <f>MID(PAA[[#This Row],[Meta Proyecto de Inversión]],6,2)</f>
        <v>li</v>
      </c>
      <c r="U701" s="179" t="str">
        <f>IFERROR(VLOOKUP(N701,TD!$B$54:$F$58,2,0)," ")</f>
        <v>NA</v>
      </c>
      <c r="V701" s="179" t="str">
        <f>IFERROR(VLOOKUP(N701,TD!$B$54:$F$58,3,0)," ")</f>
        <v>NA</v>
      </c>
      <c r="W701" s="179" t="str">
        <f>IFERROR(VLOOKUP(N701,TD!$B$54:$F$58,4,0)," ")</f>
        <v>NA</v>
      </c>
      <c r="X701" s="174" t="s">
        <v>335</v>
      </c>
      <c r="Y701" s="172" t="str">
        <f>IFERROR(VLOOKUP(X701,TD!$J$55:$K$68,2,0)," ")</f>
        <v>N/A</v>
      </c>
      <c r="Z701" s="180" t="str">
        <f>CONCATENATE(X701,"-",Y701)</f>
        <v>N/A-N/A</v>
      </c>
      <c r="AA701" s="174" t="s">
        <v>335</v>
      </c>
      <c r="AB701" s="172" t="str">
        <f>IFERROR(VLOOKUP(AA701,TD!$N$55:$O$70,2,0)," ")</f>
        <v>N/A</v>
      </c>
      <c r="AC701" s="180" t="str">
        <f>CONCATENATE(AA701,"_",AB701)</f>
        <v>N/A_N/A</v>
      </c>
      <c r="AD701" s="180" t="str">
        <f>CONCATENATE(Z701," ",AC701)</f>
        <v>N/A-N/A N/A_N/A</v>
      </c>
      <c r="AE701" s="179" t="str">
        <f>CONCATENATE(U701,V701,W701,X701,AA701)</f>
        <v>NANANAN/AN/A</v>
      </c>
      <c r="AF701" s="172" t="str">
        <f>IFERROR(VLOOKUP(AD701,TD!$J$70:$K$93,2,0)," ")</f>
        <v>N/A</v>
      </c>
      <c r="AG701" s="130" t="s">
        <v>345</v>
      </c>
      <c r="AH701" s="181" t="s">
        <v>193</v>
      </c>
      <c r="AI701" s="184" t="str">
        <f>CONCATENATE(PAA[[#This Row],[Id Interno]],"-",PAA[[#This Row],[tipo de Contrato (TH talento humano - B/S bienes y/o servicios)]],"-",S701,"-",T701,"-",PAA[[#This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702" spans="2:35" ht="70" x14ac:dyDescent="0.35">
      <c r="B702" s="137">
        <v>20260709</v>
      </c>
      <c r="C702" s="117" t="s">
        <v>1333</v>
      </c>
      <c r="D702" s="125" t="s">
        <v>105</v>
      </c>
      <c r="E702" s="125" t="s">
        <v>402</v>
      </c>
      <c r="F702" s="125" t="s">
        <v>115</v>
      </c>
      <c r="G702" s="126" t="s">
        <v>379</v>
      </c>
      <c r="H702" s="132">
        <v>12</v>
      </c>
      <c r="I702" s="132">
        <v>0</v>
      </c>
      <c r="J702" s="127">
        <v>345297598</v>
      </c>
      <c r="K702" s="128" t="s">
        <v>398</v>
      </c>
      <c r="L702" s="176" t="s">
        <v>151</v>
      </c>
      <c r="M702" s="174" t="s">
        <v>401</v>
      </c>
      <c r="N702" s="125" t="s">
        <v>330</v>
      </c>
      <c r="O702" s="174" t="s">
        <v>886</v>
      </c>
      <c r="P702" s="174" t="s">
        <v>161</v>
      </c>
      <c r="Q702" s="129" t="s">
        <v>1135</v>
      </c>
      <c r="R702" s="174" t="s">
        <v>331</v>
      </c>
      <c r="S702" s="174" t="str">
        <f>MID(PAA[[#This Row],[Meta Proyecto de Inversión]],1,4)</f>
        <v>No a</v>
      </c>
      <c r="T702" s="166" t="str">
        <f>MID(PAA[[#This Row],[Meta Proyecto de Inversión]],6,2)</f>
        <v>li</v>
      </c>
      <c r="U702" s="179" t="str">
        <f>IFERROR(VLOOKUP(N702,TD!$B$54:$F$58,2,0)," ")</f>
        <v>NA</v>
      </c>
      <c r="V702" s="179" t="str">
        <f>IFERROR(VLOOKUP(N702,TD!$B$54:$F$58,3,0)," ")</f>
        <v>NA</v>
      </c>
      <c r="W702" s="179" t="str">
        <f>IFERROR(VLOOKUP(N702,TD!$B$54:$F$58,4,0)," ")</f>
        <v>NA</v>
      </c>
      <c r="X702" s="174" t="s">
        <v>335</v>
      </c>
      <c r="Y702" s="172" t="str">
        <f>IFERROR(VLOOKUP(X702,TD!$J$55:$K$68,2,0)," ")</f>
        <v>N/A</v>
      </c>
      <c r="Z702" s="180" t="str">
        <f>CONCATENATE(X702,"-",Y702)</f>
        <v>N/A-N/A</v>
      </c>
      <c r="AA702" s="174" t="s">
        <v>335</v>
      </c>
      <c r="AB702" s="172" t="str">
        <f>IFERROR(VLOOKUP(AA702,TD!$N$55:$O$70,2,0)," ")</f>
        <v>N/A</v>
      </c>
      <c r="AC702" s="180" t="str">
        <f>CONCATENATE(AA702,"_",AB702)</f>
        <v>N/A_N/A</v>
      </c>
      <c r="AD702" s="180" t="str">
        <f>CONCATENATE(Z702," ",AC702)</f>
        <v>N/A-N/A N/A_N/A</v>
      </c>
      <c r="AE702" s="179" t="str">
        <f>CONCATENATE(U702,V702,W702,X702,AA702)</f>
        <v>NANANAN/AN/A</v>
      </c>
      <c r="AF702" s="172" t="str">
        <f>IFERROR(VLOOKUP(AD702,TD!$J$70:$K$93,2,0)," ")</f>
        <v>N/A</v>
      </c>
      <c r="AG702" s="130" t="s">
        <v>345</v>
      </c>
      <c r="AH702" s="181" t="s">
        <v>193</v>
      </c>
      <c r="AI702" s="184" t="str">
        <f>CONCATENATE(PAA[[#This Row],[Id Interno]],"-",PAA[[#This Row],[tipo de Contrato (TH talento humano - B/S bienes y/o servicios)]],"-",S702,"-",T702,"-",PAA[[#This Row],[Objeto de la contratación]])</f>
        <v>20260709-BS-No a-li-aunar esfuerzos técnicos, administrativos, financieros y tecnológicos para el fortalecimiento de practicas estrategicas en gestión tecnológica, seguridad de la información,  servicios digitales y acompañamiento para la implementacion de estandares internacionales de la uae cuerpo oficial de bomberos bogotá, de conformidad con los estudios previos y el anexo técnico.</v>
      </c>
    </row>
    <row r="703" spans="2:35" ht="84" x14ac:dyDescent="0.35">
      <c r="B703" s="146">
        <v>20260711</v>
      </c>
      <c r="C703" s="117" t="s">
        <v>993</v>
      </c>
      <c r="D703" s="125" t="s">
        <v>105</v>
      </c>
      <c r="E703" s="125" t="s">
        <v>363</v>
      </c>
      <c r="F703" s="125" t="s">
        <v>145</v>
      </c>
      <c r="G703" s="126" t="s">
        <v>379</v>
      </c>
      <c r="H703" s="132">
        <v>5</v>
      </c>
      <c r="I703" s="132">
        <v>0</v>
      </c>
      <c r="J703" s="127">
        <v>16420000</v>
      </c>
      <c r="K703" s="128" t="s">
        <v>398</v>
      </c>
      <c r="L703" s="176" t="s">
        <v>158</v>
      </c>
      <c r="M703" s="174" t="s">
        <v>421</v>
      </c>
      <c r="N703" s="125" t="s">
        <v>198</v>
      </c>
      <c r="O703" s="174" t="s">
        <v>887</v>
      </c>
      <c r="P703" s="174" t="s">
        <v>348</v>
      </c>
      <c r="Q703" s="129">
        <v>80111600</v>
      </c>
      <c r="R703" s="174" t="s">
        <v>211</v>
      </c>
      <c r="S703" s="174" t="str">
        <f>MID(PAA[[#This Row],[Meta Proyecto de Inversión]],1,4)</f>
        <v>8173</v>
      </c>
      <c r="T703" s="174" t="str">
        <f>MID(PAA[[#This Row],[Meta Proyecto de Inversión]],6,2)</f>
        <v>2-</v>
      </c>
      <c r="U703" s="179" t="str">
        <f>IFERROR(VLOOKUP(N703,TD!$B$54:$F$58,2,0)," ")</f>
        <v>O230117</v>
      </c>
      <c r="V703" s="179" t="str">
        <f>IFERROR(VLOOKUP(N703,TD!$B$54:$F$58,3,0)," ")</f>
        <v>4503</v>
      </c>
      <c r="W703" s="179">
        <f>IFERROR(VLOOKUP(N703,TD!$B$54:$F$58,4,0)," ")</f>
        <v>20240255</v>
      </c>
      <c r="X703" s="174" t="s">
        <v>164</v>
      </c>
      <c r="Y703" s="172" t="str">
        <f>IFERROR(VLOOKUP(X703,TD!$J$55:$K$68,2,0)," ")</f>
        <v>Servicio de atención a incidentes y emergencias.</v>
      </c>
      <c r="Z703" s="180" t="str">
        <f>CONCATENATE(X703,"-",Y703)</f>
        <v>04-Servicio de atención a incidentes y emergencias.</v>
      </c>
      <c r="AA703" s="174" t="s">
        <v>221</v>
      </c>
      <c r="AB703" s="172" t="str">
        <f>IFERROR(VLOOKUP(AA703,TD!$N$55:$O$70,2,0)," ")</f>
        <v>Servicio de atención a emergencias y desastres</v>
      </c>
      <c r="AC703" s="180" t="str">
        <f>CONCATENATE(AA703,"_",AB703)</f>
        <v>004_Servicio de atención a emergencias y desastres</v>
      </c>
      <c r="AD703" s="180" t="str">
        <f>CONCATENATE(Z703," ",AC703)</f>
        <v>04-Servicio de atención a incidentes y emergencias. 004_Servicio de atención a emergencias y desastres</v>
      </c>
      <c r="AE703" s="179" t="str">
        <f>CONCATENATE(U703,V703,W703,X703,AA703)</f>
        <v>O23011745032024025504004</v>
      </c>
      <c r="AF703" s="172" t="str">
        <f>IFERROR(VLOOKUP(AD703,TD!$J$70:$K$93,2,0)," ")</f>
        <v>PM/0131/0104/45030040255</v>
      </c>
      <c r="AG703" s="130" t="s">
        <v>385</v>
      </c>
      <c r="AH703" s="181" t="s">
        <v>193</v>
      </c>
      <c r="AI703" s="184" t="str">
        <f>CONCATENATE(PAA[[#This Row],[Id Interno]],"-",PAA[[#This Row],[tipo de Contrato (TH talento humano - B/S bienes y/o servicios)]],"-",S703,"-",T703,"-",PAA[[#This Row],[Objeto de la contratación]])</f>
        <v>20260711-TH-8173-2--Prestar los servicios de apoyo al proceso de comunicaciones en emergencias del centro de coordinación y comunicaciones (c.c.c.), para el desarrollo de los programas a cargo de la Subdirección Operativa-S.O.</v>
      </c>
    </row>
    <row r="704" spans="2:35" ht="56" x14ac:dyDescent="0.35">
      <c r="B704" s="146">
        <v>20260712</v>
      </c>
      <c r="C704" s="117" t="s">
        <v>994</v>
      </c>
      <c r="D704" s="125" t="s">
        <v>105</v>
      </c>
      <c r="E704" s="125" t="s">
        <v>363</v>
      </c>
      <c r="F704" s="125" t="s">
        <v>144</v>
      </c>
      <c r="G704" s="126" t="s">
        <v>380</v>
      </c>
      <c r="H704" s="132">
        <v>4</v>
      </c>
      <c r="I704" s="132">
        <v>15</v>
      </c>
      <c r="J704" s="127">
        <v>36000000</v>
      </c>
      <c r="K704" s="128" t="s">
        <v>398</v>
      </c>
      <c r="L704" s="176" t="s">
        <v>158</v>
      </c>
      <c r="M704" s="174" t="s">
        <v>421</v>
      </c>
      <c r="N704" s="125" t="s">
        <v>198</v>
      </c>
      <c r="O704" s="174" t="s">
        <v>887</v>
      </c>
      <c r="P704" s="174" t="s">
        <v>348</v>
      </c>
      <c r="Q704" s="129">
        <v>80111600</v>
      </c>
      <c r="R704" s="174" t="s">
        <v>210</v>
      </c>
      <c r="S704" s="174" t="str">
        <f>MID(PAA[[#This Row],[Meta Proyecto de Inversión]],1,4)</f>
        <v>8173</v>
      </c>
      <c r="T704" s="174" t="str">
        <f>MID(PAA[[#This Row],[Meta Proyecto de Inversión]],6,2)</f>
        <v>1-</v>
      </c>
      <c r="U704" s="179" t="str">
        <f>IFERROR(VLOOKUP(N704,TD!$B$54:$F$58,2,0)," ")</f>
        <v>O230117</v>
      </c>
      <c r="V704" s="179" t="str">
        <f>IFERROR(VLOOKUP(N704,TD!$B$54:$F$58,3,0)," ")</f>
        <v>4503</v>
      </c>
      <c r="W704" s="179">
        <f>IFERROR(VLOOKUP(N704,TD!$B$54:$F$58,4,0)," ")</f>
        <v>20240255</v>
      </c>
      <c r="X704" s="174" t="s">
        <v>164</v>
      </c>
      <c r="Y704" s="172" t="str">
        <f>IFERROR(VLOOKUP(X704,TD!$J$55:$K$68,2,0)," ")</f>
        <v>Servicio de atención a incidentes y emergencias.</v>
      </c>
      <c r="Z704" s="180" t="str">
        <f>CONCATENATE(X704,"-",Y704)</f>
        <v>04-Servicio de atención a incidentes y emergencias.</v>
      </c>
      <c r="AA704" s="174" t="s">
        <v>221</v>
      </c>
      <c r="AB704" s="172" t="str">
        <f>IFERROR(VLOOKUP(AA704,TD!$N$55:$O$70,2,0)," ")</f>
        <v>Servicio de atención a emergencias y desastres</v>
      </c>
      <c r="AC704" s="180" t="str">
        <f>CONCATENATE(AA704,"_",AB704)</f>
        <v>004_Servicio de atención a emergencias y desastres</v>
      </c>
      <c r="AD704" s="180" t="str">
        <f>CONCATENATE(Z704," ",AC704)</f>
        <v>04-Servicio de atención a incidentes y emergencias. 004_Servicio de atención a emergencias y desastres</v>
      </c>
      <c r="AE704" s="179" t="str">
        <f>CONCATENATE(U704,V704,W704,X704,AA704)</f>
        <v>O23011745032024025504004</v>
      </c>
      <c r="AF704" s="172" t="str">
        <f>IFERROR(VLOOKUP(AD704,TD!$J$70:$K$93,2,0)," ")</f>
        <v>PM/0131/0104/45030040255</v>
      </c>
      <c r="AG704" s="130" t="s">
        <v>385</v>
      </c>
      <c r="AH704" s="181" t="s">
        <v>193</v>
      </c>
      <c r="AI704" s="184" t="str">
        <f>CONCATENATE(PAA[[#This Row],[Id Interno]],"-",PAA[[#This Row],[tipo de Contrato (TH talento humano - B/S bienes y/o servicios)]],"-",S704,"-",T704,"-",PAA[[#This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705" spans="2:35" ht="56" x14ac:dyDescent="0.35">
      <c r="B705" s="146">
        <v>20260715</v>
      </c>
      <c r="C705" s="117" t="s">
        <v>906</v>
      </c>
      <c r="D705" s="125" t="s">
        <v>105</v>
      </c>
      <c r="E705" s="125" t="s">
        <v>363</v>
      </c>
      <c r="F705" s="125" t="s">
        <v>145</v>
      </c>
      <c r="G705" s="192" t="s">
        <v>380</v>
      </c>
      <c r="H705" s="178">
        <v>4</v>
      </c>
      <c r="I705" s="178">
        <v>0</v>
      </c>
      <c r="J705" s="127">
        <v>14000000</v>
      </c>
      <c r="K705" s="128" t="s">
        <v>398</v>
      </c>
      <c r="L705" s="176" t="s">
        <v>158</v>
      </c>
      <c r="M705" s="174" t="s">
        <v>421</v>
      </c>
      <c r="N705" s="125" t="s">
        <v>198</v>
      </c>
      <c r="O705" s="174" t="s">
        <v>887</v>
      </c>
      <c r="P705" s="174" t="s">
        <v>348</v>
      </c>
      <c r="Q705" s="129">
        <v>80111600</v>
      </c>
      <c r="R705" s="174" t="s">
        <v>211</v>
      </c>
      <c r="S705" s="174" t="str">
        <f>MID(PAA[[#This Row],[Meta Proyecto de Inversión]],1,4)</f>
        <v>8173</v>
      </c>
      <c r="T705" s="174" t="str">
        <f>MID(PAA[[#This Row],[Meta Proyecto de Inversión]],6,2)</f>
        <v>2-</v>
      </c>
      <c r="U705" s="179" t="str">
        <f>IFERROR(VLOOKUP(N705,TD!$B$54:$F$58,2,0)," ")</f>
        <v>O230117</v>
      </c>
      <c r="V705" s="179" t="str">
        <f>IFERROR(VLOOKUP(N705,TD!$B$54:$F$58,3,0)," ")</f>
        <v>4503</v>
      </c>
      <c r="W705" s="179">
        <f>IFERROR(VLOOKUP(N705,TD!$B$54:$F$58,4,0)," ")</f>
        <v>20240255</v>
      </c>
      <c r="X705" s="174" t="s">
        <v>164</v>
      </c>
      <c r="Y705" s="172" t="str">
        <f>IFERROR(VLOOKUP(X705,TD!$J$55:$K$68,2,0)," ")</f>
        <v>Servicio de atención a incidentes y emergencias.</v>
      </c>
      <c r="Z705" s="180" t="str">
        <f>CONCATENATE(X705,"-",Y705)</f>
        <v>04-Servicio de atención a incidentes y emergencias.</v>
      </c>
      <c r="AA705" s="174" t="s">
        <v>221</v>
      </c>
      <c r="AB705" s="172" t="str">
        <f>IFERROR(VLOOKUP(AA705,TD!$N$55:$O$70,2,0)," ")</f>
        <v>Servicio de atención a emergencias y desastres</v>
      </c>
      <c r="AC705" s="180" t="str">
        <f>CONCATENATE(AA705,"_",AB705)</f>
        <v>004_Servicio de atención a emergencias y desastres</v>
      </c>
      <c r="AD705" s="180" t="str">
        <f>CONCATENATE(Z705," ",AC705)</f>
        <v>04-Servicio de atención a incidentes y emergencias. 004_Servicio de atención a emergencias y desastres</v>
      </c>
      <c r="AE705" s="179" t="str">
        <f>CONCATENATE(U705,V705,W705,X705,AA705)</f>
        <v>O23011745032024025504004</v>
      </c>
      <c r="AF705" s="172" t="str">
        <f>IFERROR(VLOOKUP(AD705,TD!$J$70:$K$93,2,0)," ")</f>
        <v>PM/0131/0104/45030040255</v>
      </c>
      <c r="AG705" s="130" t="s">
        <v>385</v>
      </c>
      <c r="AH705" s="181" t="s">
        <v>193</v>
      </c>
      <c r="AI705" s="184" t="str">
        <f>CONCATENATE(PAA[[#This Row],[Id Interno]],"-",PAA[[#This Row],[tipo de Contrato (TH talento humano - B/S bienes y/o servicios)]],"-",S705,"-",T705,"-",PAA[[#This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706" spans="2:35" ht="56" x14ac:dyDescent="0.35">
      <c r="B706" s="146">
        <v>20260716</v>
      </c>
      <c r="C706" s="117" t="s">
        <v>996</v>
      </c>
      <c r="D706" s="125" t="s">
        <v>105</v>
      </c>
      <c r="E706" s="125" t="s">
        <v>363</v>
      </c>
      <c r="F706" s="125" t="s">
        <v>145</v>
      </c>
      <c r="G706" s="192" t="s">
        <v>380</v>
      </c>
      <c r="H706" s="178">
        <v>4</v>
      </c>
      <c r="I706" s="178">
        <v>0</v>
      </c>
      <c r="J706" s="127">
        <v>12000000</v>
      </c>
      <c r="K706" s="128" t="s">
        <v>398</v>
      </c>
      <c r="L706" s="176" t="s">
        <v>158</v>
      </c>
      <c r="M706" s="174" t="s">
        <v>421</v>
      </c>
      <c r="N706" s="125" t="s">
        <v>198</v>
      </c>
      <c r="O706" s="174" t="s">
        <v>887</v>
      </c>
      <c r="P706" s="174" t="s">
        <v>348</v>
      </c>
      <c r="Q706" s="129">
        <v>80111600</v>
      </c>
      <c r="R706" s="174" t="s">
        <v>211</v>
      </c>
      <c r="S706" s="174" t="str">
        <f>MID(PAA[[#This Row],[Meta Proyecto de Inversión]],1,4)</f>
        <v>8173</v>
      </c>
      <c r="T706" s="174" t="str">
        <f>MID(PAA[[#This Row],[Meta Proyecto de Inversión]],6,2)</f>
        <v>2-</v>
      </c>
      <c r="U706" s="179" t="str">
        <f>IFERROR(VLOOKUP(N706,TD!$B$54:$F$58,2,0)," ")</f>
        <v>O230117</v>
      </c>
      <c r="V706" s="179" t="str">
        <f>IFERROR(VLOOKUP(N706,TD!$B$54:$F$58,3,0)," ")</f>
        <v>4503</v>
      </c>
      <c r="W706" s="179">
        <f>IFERROR(VLOOKUP(N706,TD!$B$54:$F$58,4,0)," ")</f>
        <v>20240255</v>
      </c>
      <c r="X706" s="174" t="s">
        <v>164</v>
      </c>
      <c r="Y706" s="172" t="str">
        <f>IFERROR(VLOOKUP(X706,TD!$J$55:$K$68,2,0)," ")</f>
        <v>Servicio de atención a incidentes y emergencias.</v>
      </c>
      <c r="Z706" s="180" t="str">
        <f>CONCATENATE(X706,"-",Y706)</f>
        <v>04-Servicio de atención a incidentes y emergencias.</v>
      </c>
      <c r="AA706" s="174" t="s">
        <v>221</v>
      </c>
      <c r="AB706" s="172" t="str">
        <f>IFERROR(VLOOKUP(AA706,TD!$N$55:$O$70,2,0)," ")</f>
        <v>Servicio de atención a emergencias y desastres</v>
      </c>
      <c r="AC706" s="180" t="str">
        <f>CONCATENATE(AA706,"_",AB706)</f>
        <v>004_Servicio de atención a emergencias y desastres</v>
      </c>
      <c r="AD706" s="180" t="str">
        <f>CONCATENATE(Z706," ",AC706)</f>
        <v>04-Servicio de atención a incidentes y emergencias. 004_Servicio de atención a emergencias y desastres</v>
      </c>
      <c r="AE706" s="179" t="str">
        <f>CONCATENATE(U706,V706,W706,X706,AA706)</f>
        <v>O23011745032024025504004</v>
      </c>
      <c r="AF706" s="172" t="str">
        <f>IFERROR(VLOOKUP(AD706,TD!$J$70:$K$93,2,0)," ")</f>
        <v>PM/0131/0104/45030040255</v>
      </c>
      <c r="AG706" s="130" t="s">
        <v>385</v>
      </c>
      <c r="AH706" s="181" t="s">
        <v>194</v>
      </c>
      <c r="AI706" s="184" t="str">
        <f>CONCATENATE(PAA[[#This Row],[Id Interno]],"-",PAA[[#This Row],[tipo de Contrato (TH talento humano - B/S bienes y/o servicios)]],"-",S706,"-",T706,"-",PAA[[#This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707" spans="2:35" ht="84" x14ac:dyDescent="0.35">
      <c r="B707" s="146">
        <v>20260717</v>
      </c>
      <c r="C707" s="117" t="s">
        <v>997</v>
      </c>
      <c r="D707" s="125" t="s">
        <v>105</v>
      </c>
      <c r="E707" s="125" t="s">
        <v>363</v>
      </c>
      <c r="F707" s="125" t="s">
        <v>145</v>
      </c>
      <c r="G707" s="192" t="s">
        <v>381</v>
      </c>
      <c r="H707" s="178">
        <v>4</v>
      </c>
      <c r="I707" s="178">
        <v>0</v>
      </c>
      <c r="J707" s="127">
        <v>14744000</v>
      </c>
      <c r="K707" s="128" t="s">
        <v>398</v>
      </c>
      <c r="L707" s="176" t="s">
        <v>158</v>
      </c>
      <c r="M707" s="174" t="s">
        <v>421</v>
      </c>
      <c r="N707" s="125" t="s">
        <v>198</v>
      </c>
      <c r="O707" s="174" t="s">
        <v>887</v>
      </c>
      <c r="P707" s="174" t="s">
        <v>348</v>
      </c>
      <c r="Q707" s="129">
        <v>80111600</v>
      </c>
      <c r="R707" s="174" t="s">
        <v>211</v>
      </c>
      <c r="S707" s="174" t="str">
        <f>MID(PAA[[#This Row],[Meta Proyecto de Inversión]],1,4)</f>
        <v>8173</v>
      </c>
      <c r="T707" s="166" t="str">
        <f>MID(PAA[[#This Row],[Meta Proyecto de Inversión]],6,2)</f>
        <v>2-</v>
      </c>
      <c r="U707" s="179" t="str">
        <f>IFERROR(VLOOKUP(N707,TD!$B$54:$F$58,2,0)," ")</f>
        <v>O230117</v>
      </c>
      <c r="V707" s="179" t="str">
        <f>IFERROR(VLOOKUP(N707,TD!$B$54:$F$58,3,0)," ")</f>
        <v>4503</v>
      </c>
      <c r="W707" s="179">
        <f>IFERROR(VLOOKUP(N707,TD!$B$54:$F$58,4,0)," ")</f>
        <v>20240255</v>
      </c>
      <c r="X707" s="174" t="s">
        <v>164</v>
      </c>
      <c r="Y707" s="172" t="str">
        <f>IFERROR(VLOOKUP(X707,TD!$J$55:$K$68,2,0)," ")</f>
        <v>Servicio de atención a incidentes y emergencias.</v>
      </c>
      <c r="Z707" s="180" t="str">
        <f>CONCATENATE(X707,"-",Y707)</f>
        <v>04-Servicio de atención a incidentes y emergencias.</v>
      </c>
      <c r="AA707" s="174" t="s">
        <v>221</v>
      </c>
      <c r="AB707" s="172" t="str">
        <f>IFERROR(VLOOKUP(AA707,TD!$N$55:$O$70,2,0)," ")</f>
        <v>Servicio de atención a emergencias y desastres</v>
      </c>
      <c r="AC707" s="180" t="str">
        <f>CONCATENATE(AA707,"_",AB707)</f>
        <v>004_Servicio de atención a emergencias y desastres</v>
      </c>
      <c r="AD707" s="180" t="str">
        <f>CONCATENATE(Z707," ",AC707)</f>
        <v>04-Servicio de atención a incidentes y emergencias. 004_Servicio de atención a emergencias y desastres</v>
      </c>
      <c r="AE707" s="179" t="str">
        <f>CONCATENATE(U707,V707,W707,X707,AA707)</f>
        <v>O23011745032024025504004</v>
      </c>
      <c r="AF707" s="172" t="str">
        <f>IFERROR(VLOOKUP(AD707,TD!$J$70:$K$93,2,0)," ")</f>
        <v>PM/0131/0104/45030040255</v>
      </c>
      <c r="AG707" s="130" t="s">
        <v>385</v>
      </c>
      <c r="AH707" s="181" t="s">
        <v>193</v>
      </c>
      <c r="AI707" s="184" t="str">
        <f>CONCATENATE(PAA[[#This Row],[Id Interno]],"-",PAA[[#This Row],[tipo de Contrato (TH talento humano - B/S bienes y/o servicios)]],"-",S707,"-",T707,"-",PAA[[#This Row],[Objeto de la contratación]])</f>
        <v>20260717-TH-8173-2--Prestar los servicios de apoyo para el desarrollo de las actividades y trámites administrativos, relacionados con los procesos de la Subdirección Operativa-SO.</v>
      </c>
    </row>
    <row r="708" spans="2:35" ht="56" x14ac:dyDescent="0.35">
      <c r="B708" s="146">
        <v>20260718</v>
      </c>
      <c r="C708" s="117" t="s">
        <v>998</v>
      </c>
      <c r="D708" s="125" t="s">
        <v>105</v>
      </c>
      <c r="E708" s="125" t="s">
        <v>363</v>
      </c>
      <c r="F708" s="125" t="s">
        <v>144</v>
      </c>
      <c r="G708" s="192" t="s">
        <v>381</v>
      </c>
      <c r="H708" s="178">
        <v>3</v>
      </c>
      <c r="I708" s="178">
        <v>0</v>
      </c>
      <c r="J708" s="127">
        <v>21000000</v>
      </c>
      <c r="K708" s="128" t="s">
        <v>398</v>
      </c>
      <c r="L708" s="176" t="s">
        <v>158</v>
      </c>
      <c r="M708" s="174" t="s">
        <v>421</v>
      </c>
      <c r="N708" s="125" t="s">
        <v>198</v>
      </c>
      <c r="O708" s="174" t="s">
        <v>887</v>
      </c>
      <c r="P708" s="174" t="s">
        <v>348</v>
      </c>
      <c r="Q708" s="129">
        <v>80111600</v>
      </c>
      <c r="R708" s="174" t="s">
        <v>211</v>
      </c>
      <c r="S708" s="174" t="str">
        <f>MID(PAA[[#This Row],[Meta Proyecto de Inversión]],1,4)</f>
        <v>8173</v>
      </c>
      <c r="T708" s="166" t="str">
        <f>MID(PAA[[#This Row],[Meta Proyecto de Inversión]],6,2)</f>
        <v>2-</v>
      </c>
      <c r="U708" s="179" t="str">
        <f>IFERROR(VLOOKUP(N708,TD!$B$54:$F$58,2,0)," ")</f>
        <v>O230117</v>
      </c>
      <c r="V708" s="179" t="str">
        <f>IFERROR(VLOOKUP(N708,TD!$B$54:$F$58,3,0)," ")</f>
        <v>4503</v>
      </c>
      <c r="W708" s="179">
        <f>IFERROR(VLOOKUP(N708,TD!$B$54:$F$58,4,0)," ")</f>
        <v>20240255</v>
      </c>
      <c r="X708" s="174" t="s">
        <v>164</v>
      </c>
      <c r="Y708" s="172" t="str">
        <f>IFERROR(VLOOKUP(X708,TD!$J$55:$K$68,2,0)," ")</f>
        <v>Servicio de atención a incidentes y emergencias.</v>
      </c>
      <c r="Z708" s="180" t="str">
        <f>CONCATENATE(X708,"-",Y708)</f>
        <v>04-Servicio de atención a incidentes y emergencias.</v>
      </c>
      <c r="AA708" s="174" t="s">
        <v>221</v>
      </c>
      <c r="AB708" s="172" t="str">
        <f>IFERROR(VLOOKUP(AA708,TD!$N$55:$O$70,2,0)," ")</f>
        <v>Servicio de atención a emergencias y desastres</v>
      </c>
      <c r="AC708" s="180" t="str">
        <f>CONCATENATE(AA708,"_",AB708)</f>
        <v>004_Servicio de atención a emergencias y desastres</v>
      </c>
      <c r="AD708" s="180" t="str">
        <f>CONCATENATE(Z708," ",AC708)</f>
        <v>04-Servicio de atención a incidentes y emergencias. 004_Servicio de atención a emergencias y desastres</v>
      </c>
      <c r="AE708" s="179" t="str">
        <f>CONCATENATE(U708,V708,W708,X708,AA708)</f>
        <v>O23011745032024025504004</v>
      </c>
      <c r="AF708" s="172" t="str">
        <f>IFERROR(VLOOKUP(AD708,TD!$J$70:$K$93,2,0)," ")</f>
        <v>PM/0131/0104/45030040255</v>
      </c>
      <c r="AG708" s="130" t="s">
        <v>385</v>
      </c>
      <c r="AH708" s="181" t="s">
        <v>194</v>
      </c>
      <c r="AI708" s="184" t="str">
        <f>CONCATENATE(PAA[[#This Row],[Id Interno]],"-",PAA[[#This Row],[tipo de Contrato (TH talento humano - B/S bienes y/o servicios)]],"-",S708,"-",T708,"-",PAA[[#This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709" spans="2:35" ht="84" x14ac:dyDescent="0.35">
      <c r="B709" s="222">
        <v>20260719</v>
      </c>
      <c r="C709" s="117" t="s">
        <v>999</v>
      </c>
      <c r="D709" s="125" t="s">
        <v>105</v>
      </c>
      <c r="E709" s="125" t="s">
        <v>363</v>
      </c>
      <c r="F709" s="125" t="s">
        <v>144</v>
      </c>
      <c r="G709" s="192" t="s">
        <v>380</v>
      </c>
      <c r="H709" s="178">
        <v>4</v>
      </c>
      <c r="I709" s="178">
        <v>0</v>
      </c>
      <c r="J709" s="127">
        <v>20600000</v>
      </c>
      <c r="K709" s="128" t="s">
        <v>398</v>
      </c>
      <c r="L709" s="176" t="s">
        <v>158</v>
      </c>
      <c r="M709" s="174" t="s">
        <v>421</v>
      </c>
      <c r="N709" s="125" t="s">
        <v>198</v>
      </c>
      <c r="O709" s="174" t="s">
        <v>887</v>
      </c>
      <c r="P709" s="174" t="s">
        <v>348</v>
      </c>
      <c r="Q709" s="129">
        <v>80111600</v>
      </c>
      <c r="R709" s="174" t="s">
        <v>211</v>
      </c>
      <c r="S709" s="174" t="str">
        <f>MID(PAA[[#This Row],[Meta Proyecto de Inversión]],1,4)</f>
        <v>8173</v>
      </c>
      <c r="T709" s="174" t="str">
        <f>MID(PAA[[#This Row],[Meta Proyecto de Inversión]],6,2)</f>
        <v>2-</v>
      </c>
      <c r="U709" s="179" t="str">
        <f>IFERROR(VLOOKUP(N709,TD!$B$54:$F$58,2,0)," ")</f>
        <v>O230117</v>
      </c>
      <c r="V709" s="179" t="str">
        <f>IFERROR(VLOOKUP(N709,TD!$B$54:$F$58,3,0)," ")</f>
        <v>4503</v>
      </c>
      <c r="W709" s="179">
        <f>IFERROR(VLOOKUP(N709,TD!$B$54:$F$58,4,0)," ")</f>
        <v>20240255</v>
      </c>
      <c r="X709" s="174" t="s">
        <v>164</v>
      </c>
      <c r="Y709" s="172" t="str">
        <f>IFERROR(VLOOKUP(X709,TD!$J$55:$K$68,2,0)," ")</f>
        <v>Servicio de atención a incidentes y emergencias.</v>
      </c>
      <c r="Z709" s="180" t="str">
        <f>CONCATENATE(X709,"-",Y709)</f>
        <v>04-Servicio de atención a incidentes y emergencias.</v>
      </c>
      <c r="AA709" s="174" t="s">
        <v>221</v>
      </c>
      <c r="AB709" s="172" t="str">
        <f>IFERROR(VLOOKUP(AA709,TD!$N$55:$O$70,2,0)," ")</f>
        <v>Servicio de atención a emergencias y desastres</v>
      </c>
      <c r="AC709" s="180" t="str">
        <f>CONCATENATE(AA709,"_",AB709)</f>
        <v>004_Servicio de atención a emergencias y desastres</v>
      </c>
      <c r="AD709" s="180" t="str">
        <f>CONCATENATE(Z709," ",AC709)</f>
        <v>04-Servicio de atención a incidentes y emergencias. 004_Servicio de atención a emergencias y desastres</v>
      </c>
      <c r="AE709" s="179" t="str">
        <f>CONCATENATE(U709,V709,W709,X709,AA709)</f>
        <v>O23011745032024025504004</v>
      </c>
      <c r="AF709" s="172" t="str">
        <f>IFERROR(VLOOKUP(AD709,TD!$J$70:$K$93,2,0)," ")</f>
        <v>PM/0131/0104/45030040255</v>
      </c>
      <c r="AG709" s="130" t="s">
        <v>385</v>
      </c>
      <c r="AH709" s="181" t="s">
        <v>194</v>
      </c>
      <c r="AI709" s="184" t="str">
        <f>CONCATENATE(PAA[[#This Row],[Id Interno]],"-",PAA[[#This Row],[tipo de Contrato (TH talento humano - B/S bienes y/o servicios)]],"-",S709,"-",T709,"-",PAA[[#This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710" spans="2:35" ht="84" x14ac:dyDescent="0.35">
      <c r="B710" s="146">
        <v>20260720</v>
      </c>
      <c r="C710" s="117" t="s">
        <v>1000</v>
      </c>
      <c r="D710" s="125" t="s">
        <v>105</v>
      </c>
      <c r="E710" s="125" t="s">
        <v>363</v>
      </c>
      <c r="F710" s="125" t="s">
        <v>144</v>
      </c>
      <c r="G710" s="192" t="s">
        <v>380</v>
      </c>
      <c r="H710" s="178">
        <v>4</v>
      </c>
      <c r="I710" s="178">
        <v>0</v>
      </c>
      <c r="J710" s="127">
        <v>32800000</v>
      </c>
      <c r="K710" s="128" t="s">
        <v>398</v>
      </c>
      <c r="L710" s="176" t="s">
        <v>158</v>
      </c>
      <c r="M710" s="174" t="s">
        <v>421</v>
      </c>
      <c r="N710" s="125" t="s">
        <v>198</v>
      </c>
      <c r="O710" s="174" t="s">
        <v>887</v>
      </c>
      <c r="P710" s="174" t="s">
        <v>348</v>
      </c>
      <c r="Q710" s="129">
        <v>80111600</v>
      </c>
      <c r="R710" s="174" t="s">
        <v>211</v>
      </c>
      <c r="S710" s="174" t="str">
        <f>MID(PAA[[#This Row],[Meta Proyecto de Inversión]],1,4)</f>
        <v>8173</v>
      </c>
      <c r="T710" s="174" t="str">
        <f>MID(PAA[[#This Row],[Meta Proyecto de Inversión]],6,2)</f>
        <v>2-</v>
      </c>
      <c r="U710" s="179" t="str">
        <f>IFERROR(VLOOKUP(N710,TD!$B$54:$F$58,2,0)," ")</f>
        <v>O230117</v>
      </c>
      <c r="V710" s="179" t="str">
        <f>IFERROR(VLOOKUP(N710,TD!$B$54:$F$58,3,0)," ")</f>
        <v>4503</v>
      </c>
      <c r="W710" s="179">
        <f>IFERROR(VLOOKUP(N710,TD!$B$54:$F$58,4,0)," ")</f>
        <v>20240255</v>
      </c>
      <c r="X710" s="174" t="s">
        <v>164</v>
      </c>
      <c r="Y710" s="172" t="str">
        <f>IFERROR(VLOOKUP(X710,TD!$J$55:$K$68,2,0)," ")</f>
        <v>Servicio de atención a incidentes y emergencias.</v>
      </c>
      <c r="Z710" s="180" t="str">
        <f>CONCATENATE(X710,"-",Y710)</f>
        <v>04-Servicio de atención a incidentes y emergencias.</v>
      </c>
      <c r="AA710" s="174" t="s">
        <v>221</v>
      </c>
      <c r="AB710" s="172" t="str">
        <f>IFERROR(VLOOKUP(AA710,TD!$N$55:$O$70,2,0)," ")</f>
        <v>Servicio de atención a emergencias y desastres</v>
      </c>
      <c r="AC710" s="180" t="str">
        <f>CONCATENATE(AA710,"_",AB710)</f>
        <v>004_Servicio de atención a emergencias y desastres</v>
      </c>
      <c r="AD710" s="180" t="str">
        <f>CONCATENATE(Z710," ",AC710)</f>
        <v>04-Servicio de atención a incidentes y emergencias. 004_Servicio de atención a emergencias y desastres</v>
      </c>
      <c r="AE710" s="179" t="str">
        <f>CONCATENATE(U710,V710,W710,X710,AA710)</f>
        <v>O23011745032024025504004</v>
      </c>
      <c r="AF710" s="172" t="str">
        <f>IFERROR(VLOOKUP(AD710,TD!$J$70:$K$93,2,0)," ")</f>
        <v>PM/0131/0104/45030040255</v>
      </c>
      <c r="AG710" s="130" t="s">
        <v>385</v>
      </c>
      <c r="AH710" s="181" t="s">
        <v>194</v>
      </c>
      <c r="AI710" s="184" t="str">
        <f>CONCATENATE(PAA[[#This Row],[Id Interno]],"-",PAA[[#This Row],[tipo de Contrato (TH talento humano - B/S bienes y/o servicios)]],"-",S710,"-",T710,"-",PAA[[#This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711" spans="2:35" ht="84" x14ac:dyDescent="0.35">
      <c r="B711" s="146">
        <v>20260721</v>
      </c>
      <c r="C711" s="117" t="s">
        <v>1001</v>
      </c>
      <c r="D711" s="125" t="s">
        <v>105</v>
      </c>
      <c r="E711" s="125" t="s">
        <v>363</v>
      </c>
      <c r="F711" s="125" t="s">
        <v>144</v>
      </c>
      <c r="G711" s="192" t="s">
        <v>380</v>
      </c>
      <c r="H711" s="178">
        <v>4</v>
      </c>
      <c r="I711" s="178">
        <v>0</v>
      </c>
      <c r="J711" s="127">
        <v>18800000</v>
      </c>
      <c r="K711" s="128" t="s">
        <v>398</v>
      </c>
      <c r="L711" s="176" t="s">
        <v>158</v>
      </c>
      <c r="M711" s="174" t="s">
        <v>421</v>
      </c>
      <c r="N711" s="125" t="s">
        <v>198</v>
      </c>
      <c r="O711" s="174" t="s">
        <v>887</v>
      </c>
      <c r="P711" s="174" t="s">
        <v>348</v>
      </c>
      <c r="Q711" s="129">
        <v>80111600</v>
      </c>
      <c r="R711" s="174" t="s">
        <v>211</v>
      </c>
      <c r="S711" s="174" t="str">
        <f>MID(PAA[[#This Row],[Meta Proyecto de Inversión]],1,4)</f>
        <v>8173</v>
      </c>
      <c r="T711" s="174" t="str">
        <f>MID(PAA[[#This Row],[Meta Proyecto de Inversión]],6,2)</f>
        <v>2-</v>
      </c>
      <c r="U711" s="179" t="str">
        <f>IFERROR(VLOOKUP(N711,TD!$B$54:$F$58,2,0)," ")</f>
        <v>O230117</v>
      </c>
      <c r="V711" s="179" t="str">
        <f>IFERROR(VLOOKUP(N711,TD!$B$54:$F$58,3,0)," ")</f>
        <v>4503</v>
      </c>
      <c r="W711" s="179">
        <f>IFERROR(VLOOKUP(N711,TD!$B$54:$F$58,4,0)," ")</f>
        <v>20240255</v>
      </c>
      <c r="X711" s="174" t="s">
        <v>164</v>
      </c>
      <c r="Y711" s="172" t="str">
        <f>IFERROR(VLOOKUP(X711,TD!$J$55:$K$68,2,0)," ")</f>
        <v>Servicio de atención a incidentes y emergencias.</v>
      </c>
      <c r="Z711" s="180" t="str">
        <f>CONCATENATE(X711,"-",Y711)</f>
        <v>04-Servicio de atención a incidentes y emergencias.</v>
      </c>
      <c r="AA711" s="174" t="s">
        <v>221</v>
      </c>
      <c r="AB711" s="172" t="str">
        <f>IFERROR(VLOOKUP(AA711,TD!$N$55:$O$70,2,0)," ")</f>
        <v>Servicio de atención a emergencias y desastres</v>
      </c>
      <c r="AC711" s="180" t="str">
        <f>CONCATENATE(AA711,"_",AB711)</f>
        <v>004_Servicio de atención a emergencias y desastres</v>
      </c>
      <c r="AD711" s="180" t="str">
        <f>CONCATENATE(Z711," ",AC711)</f>
        <v>04-Servicio de atención a incidentes y emergencias. 004_Servicio de atención a emergencias y desastres</v>
      </c>
      <c r="AE711" s="179" t="str">
        <f>CONCATENATE(U711,V711,W711,X711,AA711)</f>
        <v>O23011745032024025504004</v>
      </c>
      <c r="AF711" s="172" t="str">
        <f>IFERROR(VLOOKUP(AD711,TD!$J$70:$K$93,2,0)," ")</f>
        <v>PM/0131/0104/45030040255</v>
      </c>
      <c r="AG711" s="130" t="s">
        <v>385</v>
      </c>
      <c r="AH711" s="181" t="s">
        <v>194</v>
      </c>
      <c r="AI711" s="184" t="str">
        <f>CONCATENATE(PAA[[#This Row],[Id Interno]],"-",PAA[[#This Row],[tipo de Contrato (TH talento humano - B/S bienes y/o servicios)]],"-",S711,"-",T711,"-",PAA[[#This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712" spans="2:35" ht="84" x14ac:dyDescent="0.35">
      <c r="B712" s="146">
        <v>20260722</v>
      </c>
      <c r="C712" s="117" t="s">
        <v>1002</v>
      </c>
      <c r="D712" s="125" t="s">
        <v>105</v>
      </c>
      <c r="E712" s="125" t="s">
        <v>363</v>
      </c>
      <c r="F712" s="125" t="s">
        <v>144</v>
      </c>
      <c r="G712" s="192" t="s">
        <v>380</v>
      </c>
      <c r="H712" s="178">
        <v>4</v>
      </c>
      <c r="I712" s="178">
        <v>0</v>
      </c>
      <c r="J712" s="127">
        <v>22500000</v>
      </c>
      <c r="K712" s="128" t="s">
        <v>398</v>
      </c>
      <c r="L712" s="176" t="s">
        <v>158</v>
      </c>
      <c r="M712" s="174" t="s">
        <v>421</v>
      </c>
      <c r="N712" s="125" t="s">
        <v>198</v>
      </c>
      <c r="O712" s="174" t="s">
        <v>887</v>
      </c>
      <c r="P712" s="174" t="s">
        <v>348</v>
      </c>
      <c r="Q712" s="129">
        <v>80111600</v>
      </c>
      <c r="R712" s="174" t="s">
        <v>211</v>
      </c>
      <c r="S712" s="174" t="str">
        <f>MID(PAA[[#This Row],[Meta Proyecto de Inversión]],1,4)</f>
        <v>8173</v>
      </c>
      <c r="T712" s="174" t="str">
        <f>MID(PAA[[#This Row],[Meta Proyecto de Inversión]],6,2)</f>
        <v>2-</v>
      </c>
      <c r="U712" s="179" t="str">
        <f>IFERROR(VLOOKUP(N712,TD!$B$54:$F$58,2,0)," ")</f>
        <v>O230117</v>
      </c>
      <c r="V712" s="179" t="str">
        <f>IFERROR(VLOOKUP(N712,TD!$B$54:$F$58,3,0)," ")</f>
        <v>4503</v>
      </c>
      <c r="W712" s="179">
        <f>IFERROR(VLOOKUP(N712,TD!$B$54:$F$58,4,0)," ")</f>
        <v>20240255</v>
      </c>
      <c r="X712" s="174" t="s">
        <v>164</v>
      </c>
      <c r="Y712" s="172" t="str">
        <f>IFERROR(VLOOKUP(X712,TD!$J$55:$K$68,2,0)," ")</f>
        <v>Servicio de atención a incidentes y emergencias.</v>
      </c>
      <c r="Z712" s="180" t="str">
        <f>CONCATENATE(X712,"-",Y712)</f>
        <v>04-Servicio de atención a incidentes y emergencias.</v>
      </c>
      <c r="AA712" s="174" t="s">
        <v>221</v>
      </c>
      <c r="AB712" s="172" t="str">
        <f>IFERROR(VLOOKUP(AA712,TD!$N$55:$O$70,2,0)," ")</f>
        <v>Servicio de atención a emergencias y desastres</v>
      </c>
      <c r="AC712" s="180" t="str">
        <f>CONCATENATE(AA712,"_",AB712)</f>
        <v>004_Servicio de atención a emergencias y desastres</v>
      </c>
      <c r="AD712" s="180" t="str">
        <f>CONCATENATE(Z712," ",AC712)</f>
        <v>04-Servicio de atención a incidentes y emergencias. 004_Servicio de atención a emergencias y desastres</v>
      </c>
      <c r="AE712" s="179" t="str">
        <f>CONCATENATE(U712,V712,W712,X712,AA712)</f>
        <v>O23011745032024025504004</v>
      </c>
      <c r="AF712" s="172" t="str">
        <f>IFERROR(VLOOKUP(AD712,TD!$J$70:$K$93,2,0)," ")</f>
        <v>PM/0131/0104/45030040255</v>
      </c>
      <c r="AG712" s="130" t="s">
        <v>385</v>
      </c>
      <c r="AH712" s="181" t="s">
        <v>194</v>
      </c>
      <c r="AI712" s="184" t="str">
        <f>CONCATENATE(PAA[[#This Row],[Id Interno]],"-",PAA[[#This Row],[tipo de Contrato (TH talento humano - B/S bienes y/o servicios)]],"-",S712,"-",T712,"-",PAA[[#This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713" spans="2:35" ht="84" x14ac:dyDescent="0.35">
      <c r="B713" s="146">
        <v>20260723</v>
      </c>
      <c r="C713" s="117" t="s">
        <v>1003</v>
      </c>
      <c r="D713" s="125" t="s">
        <v>105</v>
      </c>
      <c r="E713" s="125" t="s">
        <v>363</v>
      </c>
      <c r="F713" s="125" t="s">
        <v>144</v>
      </c>
      <c r="G713" s="192" t="s">
        <v>380</v>
      </c>
      <c r="H713" s="178">
        <v>4</v>
      </c>
      <c r="I713" s="178">
        <v>0</v>
      </c>
      <c r="J713" s="127">
        <v>36000000</v>
      </c>
      <c r="K713" s="128" t="s">
        <v>398</v>
      </c>
      <c r="L713" s="176" t="s">
        <v>158</v>
      </c>
      <c r="M713" s="174" t="s">
        <v>421</v>
      </c>
      <c r="N713" s="125" t="s">
        <v>198</v>
      </c>
      <c r="O713" s="174" t="s">
        <v>887</v>
      </c>
      <c r="P713" s="174" t="s">
        <v>348</v>
      </c>
      <c r="Q713" s="129">
        <v>80111600</v>
      </c>
      <c r="R713" s="174" t="s">
        <v>211</v>
      </c>
      <c r="S713" s="174" t="str">
        <f>MID(PAA[[#This Row],[Meta Proyecto de Inversión]],1,4)</f>
        <v>8173</v>
      </c>
      <c r="T713" s="174" t="str">
        <f>MID(PAA[[#This Row],[Meta Proyecto de Inversión]],6,2)</f>
        <v>2-</v>
      </c>
      <c r="U713" s="179" t="str">
        <f>IFERROR(VLOOKUP(N713,TD!$B$54:$F$58,2,0)," ")</f>
        <v>O230117</v>
      </c>
      <c r="V713" s="179" t="str">
        <f>IFERROR(VLOOKUP(N713,TD!$B$54:$F$58,3,0)," ")</f>
        <v>4503</v>
      </c>
      <c r="W713" s="179">
        <f>IFERROR(VLOOKUP(N713,TD!$B$54:$F$58,4,0)," ")</f>
        <v>20240255</v>
      </c>
      <c r="X713" s="174" t="s">
        <v>164</v>
      </c>
      <c r="Y713" s="172" t="str">
        <f>IFERROR(VLOOKUP(X713,TD!$J$55:$K$68,2,0)," ")</f>
        <v>Servicio de atención a incidentes y emergencias.</v>
      </c>
      <c r="Z713" s="180" t="str">
        <f>CONCATENATE(X713,"-",Y713)</f>
        <v>04-Servicio de atención a incidentes y emergencias.</v>
      </c>
      <c r="AA713" s="174" t="s">
        <v>221</v>
      </c>
      <c r="AB713" s="172" t="str">
        <f>IFERROR(VLOOKUP(AA713,TD!$N$55:$O$70,2,0)," ")</f>
        <v>Servicio de atención a emergencias y desastres</v>
      </c>
      <c r="AC713" s="180" t="str">
        <f>CONCATENATE(AA713,"_",AB713)</f>
        <v>004_Servicio de atención a emergencias y desastres</v>
      </c>
      <c r="AD713" s="180" t="str">
        <f>CONCATENATE(Z713," ",AC713)</f>
        <v>04-Servicio de atención a incidentes y emergencias. 004_Servicio de atención a emergencias y desastres</v>
      </c>
      <c r="AE713" s="179" t="str">
        <f>CONCATENATE(U713,V713,W713,X713,AA713)</f>
        <v>O23011745032024025504004</v>
      </c>
      <c r="AF713" s="172" t="str">
        <f>IFERROR(VLOOKUP(AD713,TD!$J$70:$K$93,2,0)," ")</f>
        <v>PM/0131/0104/45030040255</v>
      </c>
      <c r="AG713" s="130" t="s">
        <v>385</v>
      </c>
      <c r="AH713" s="181" t="s">
        <v>194</v>
      </c>
      <c r="AI713" s="184" t="str">
        <f>CONCATENATE(PAA[[#This Row],[Id Interno]],"-",PAA[[#This Row],[tipo de Contrato (TH talento humano - B/S bienes y/o servicios)]],"-",S713,"-",T713,"-",PAA[[#This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14" spans="2:35" ht="112" x14ac:dyDescent="0.35">
      <c r="B714" s="146">
        <v>20260724</v>
      </c>
      <c r="C714" s="117" t="s">
        <v>1004</v>
      </c>
      <c r="D714" s="125" t="s">
        <v>105</v>
      </c>
      <c r="E714" s="125" t="s">
        <v>363</v>
      </c>
      <c r="F714" s="125" t="s">
        <v>144</v>
      </c>
      <c r="G714" s="192" t="s">
        <v>380</v>
      </c>
      <c r="H714" s="178">
        <v>4</v>
      </c>
      <c r="I714" s="178">
        <v>0</v>
      </c>
      <c r="J714" s="127">
        <v>22400000</v>
      </c>
      <c r="K714" s="128" t="s">
        <v>398</v>
      </c>
      <c r="L714" s="176" t="s">
        <v>158</v>
      </c>
      <c r="M714" s="174" t="s">
        <v>421</v>
      </c>
      <c r="N714" s="125" t="s">
        <v>198</v>
      </c>
      <c r="O714" s="174" t="s">
        <v>887</v>
      </c>
      <c r="P714" s="174" t="s">
        <v>348</v>
      </c>
      <c r="Q714" s="129">
        <v>80111600</v>
      </c>
      <c r="R714" s="174" t="s">
        <v>211</v>
      </c>
      <c r="S714" s="174" t="str">
        <f>MID(PAA[[#This Row],[Meta Proyecto de Inversión]],1,4)</f>
        <v>8173</v>
      </c>
      <c r="T714" s="174" t="str">
        <f>MID(PAA[[#This Row],[Meta Proyecto de Inversión]],6,2)</f>
        <v>2-</v>
      </c>
      <c r="U714" s="179" t="str">
        <f>IFERROR(VLOOKUP(N714,TD!$B$54:$F$58,2,0)," ")</f>
        <v>O230117</v>
      </c>
      <c r="V714" s="179" t="str">
        <f>IFERROR(VLOOKUP(N714,TD!$B$54:$F$58,3,0)," ")</f>
        <v>4503</v>
      </c>
      <c r="W714" s="179">
        <f>IFERROR(VLOOKUP(N714,TD!$B$54:$F$58,4,0)," ")</f>
        <v>20240255</v>
      </c>
      <c r="X714" s="174" t="s">
        <v>164</v>
      </c>
      <c r="Y714" s="172" t="str">
        <f>IFERROR(VLOOKUP(X714,TD!$J$55:$K$68,2,0)," ")</f>
        <v>Servicio de atención a incidentes y emergencias.</v>
      </c>
      <c r="Z714" s="180" t="str">
        <f>CONCATENATE(X714,"-",Y714)</f>
        <v>04-Servicio de atención a incidentes y emergencias.</v>
      </c>
      <c r="AA714" s="174" t="s">
        <v>221</v>
      </c>
      <c r="AB714" s="172" t="str">
        <f>IFERROR(VLOOKUP(AA714,TD!$N$55:$O$70,2,0)," ")</f>
        <v>Servicio de atención a emergencias y desastres</v>
      </c>
      <c r="AC714" s="180" t="str">
        <f>CONCATENATE(AA714,"_",AB714)</f>
        <v>004_Servicio de atención a emergencias y desastres</v>
      </c>
      <c r="AD714" s="180" t="str">
        <f>CONCATENATE(Z714," ",AC714)</f>
        <v>04-Servicio de atención a incidentes y emergencias. 004_Servicio de atención a emergencias y desastres</v>
      </c>
      <c r="AE714" s="179" t="str">
        <f>CONCATENATE(U714,V714,W714,X714,AA714)</f>
        <v>O23011745032024025504004</v>
      </c>
      <c r="AF714" s="172" t="str">
        <f>IFERROR(VLOOKUP(AD714,TD!$J$70:$K$93,2,0)," ")</f>
        <v>PM/0131/0104/45030040255</v>
      </c>
      <c r="AG714" s="130" t="s">
        <v>385</v>
      </c>
      <c r="AH714" s="181" t="s">
        <v>194</v>
      </c>
      <c r="AI714" s="184" t="str">
        <f>CONCATENATE(PAA[[#This Row],[Id Interno]],"-",PAA[[#This Row],[tipo de Contrato (TH talento humano - B/S bienes y/o servicios)]],"-",S714,"-",T714,"-",PAA[[#This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715" spans="2:35" ht="84" x14ac:dyDescent="0.35">
      <c r="B715" s="146">
        <v>20260725</v>
      </c>
      <c r="C715" s="117" t="s">
        <v>1005</v>
      </c>
      <c r="D715" s="125" t="s">
        <v>105</v>
      </c>
      <c r="E715" s="125" t="s">
        <v>363</v>
      </c>
      <c r="F715" s="125" t="s">
        <v>144</v>
      </c>
      <c r="G715" s="192" t="s">
        <v>380</v>
      </c>
      <c r="H715" s="178">
        <v>4</v>
      </c>
      <c r="I715" s="178">
        <v>0</v>
      </c>
      <c r="J715" s="127">
        <v>36000000</v>
      </c>
      <c r="K715" s="128" t="s">
        <v>398</v>
      </c>
      <c r="L715" s="176" t="s">
        <v>158</v>
      </c>
      <c r="M715" s="174" t="s">
        <v>421</v>
      </c>
      <c r="N715" s="125" t="s">
        <v>198</v>
      </c>
      <c r="O715" s="174" t="s">
        <v>887</v>
      </c>
      <c r="P715" s="174" t="s">
        <v>348</v>
      </c>
      <c r="Q715" s="129">
        <v>80111600</v>
      </c>
      <c r="R715" s="174" t="s">
        <v>211</v>
      </c>
      <c r="S715" s="174" t="str">
        <f>MID(PAA[[#This Row],[Meta Proyecto de Inversión]],1,4)</f>
        <v>8173</v>
      </c>
      <c r="T715" s="174" t="str">
        <f>MID(PAA[[#This Row],[Meta Proyecto de Inversión]],6,2)</f>
        <v>2-</v>
      </c>
      <c r="U715" s="179" t="str">
        <f>IFERROR(VLOOKUP(N715,TD!$B$54:$F$58,2,0)," ")</f>
        <v>O230117</v>
      </c>
      <c r="V715" s="179" t="str">
        <f>IFERROR(VLOOKUP(N715,TD!$B$54:$F$58,3,0)," ")</f>
        <v>4503</v>
      </c>
      <c r="W715" s="179">
        <f>IFERROR(VLOOKUP(N715,TD!$B$54:$F$58,4,0)," ")</f>
        <v>20240255</v>
      </c>
      <c r="X715" s="174" t="s">
        <v>164</v>
      </c>
      <c r="Y715" s="172" t="str">
        <f>IFERROR(VLOOKUP(X715,TD!$J$55:$K$68,2,0)," ")</f>
        <v>Servicio de atención a incidentes y emergencias.</v>
      </c>
      <c r="Z715" s="180" t="str">
        <f>CONCATENATE(X715,"-",Y715)</f>
        <v>04-Servicio de atención a incidentes y emergencias.</v>
      </c>
      <c r="AA715" s="174" t="s">
        <v>221</v>
      </c>
      <c r="AB715" s="172" t="str">
        <f>IFERROR(VLOOKUP(AA715,TD!$N$55:$O$70,2,0)," ")</f>
        <v>Servicio de atención a emergencias y desastres</v>
      </c>
      <c r="AC715" s="180" t="str">
        <f>CONCATENATE(AA715,"_",AB715)</f>
        <v>004_Servicio de atención a emergencias y desastres</v>
      </c>
      <c r="AD715" s="180" t="str">
        <f>CONCATENATE(Z715," ",AC715)</f>
        <v>04-Servicio de atención a incidentes y emergencias. 004_Servicio de atención a emergencias y desastres</v>
      </c>
      <c r="AE715" s="179" t="str">
        <f>CONCATENATE(U715,V715,W715,X715,AA715)</f>
        <v>O23011745032024025504004</v>
      </c>
      <c r="AF715" s="172" t="str">
        <f>IFERROR(VLOOKUP(AD715,TD!$J$70:$K$93,2,0)," ")</f>
        <v>PM/0131/0104/45030040255</v>
      </c>
      <c r="AG715" s="130" t="s">
        <v>385</v>
      </c>
      <c r="AH715" s="181" t="s">
        <v>194</v>
      </c>
      <c r="AI715" s="184" t="str">
        <f>CONCATENATE(PAA[[#This Row],[Id Interno]],"-",PAA[[#This Row],[tipo de Contrato (TH talento humano - B/S bienes y/o servicios)]],"-",S715,"-",T715,"-",PAA[[#This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716" spans="2:35" ht="112" x14ac:dyDescent="0.35">
      <c r="B716" s="146">
        <v>20260726</v>
      </c>
      <c r="C716" s="117" t="s">
        <v>1006</v>
      </c>
      <c r="D716" s="125" t="s">
        <v>105</v>
      </c>
      <c r="E716" s="125" t="s">
        <v>363</v>
      </c>
      <c r="F716" s="125" t="s">
        <v>144</v>
      </c>
      <c r="G716" s="192" t="s">
        <v>380</v>
      </c>
      <c r="H716" s="178">
        <v>4</v>
      </c>
      <c r="I716" s="178">
        <v>0</v>
      </c>
      <c r="J716" s="127">
        <v>28800000</v>
      </c>
      <c r="K716" s="128" t="s">
        <v>398</v>
      </c>
      <c r="L716" s="176" t="s">
        <v>158</v>
      </c>
      <c r="M716" s="174" t="s">
        <v>421</v>
      </c>
      <c r="N716" s="125" t="s">
        <v>198</v>
      </c>
      <c r="O716" s="174" t="s">
        <v>887</v>
      </c>
      <c r="P716" s="174" t="s">
        <v>348</v>
      </c>
      <c r="Q716" s="129">
        <v>80111600</v>
      </c>
      <c r="R716" s="174" t="s">
        <v>211</v>
      </c>
      <c r="S716" s="174" t="str">
        <f>MID(PAA[[#This Row],[Meta Proyecto de Inversión]],1,4)</f>
        <v>8173</v>
      </c>
      <c r="T716" s="174" t="str">
        <f>MID(PAA[[#This Row],[Meta Proyecto de Inversión]],6,2)</f>
        <v>2-</v>
      </c>
      <c r="U716" s="179" t="str">
        <f>IFERROR(VLOOKUP(N716,TD!$B$54:$F$58,2,0)," ")</f>
        <v>O230117</v>
      </c>
      <c r="V716" s="179" t="str">
        <f>IFERROR(VLOOKUP(N716,TD!$B$54:$F$58,3,0)," ")</f>
        <v>4503</v>
      </c>
      <c r="W716" s="179">
        <f>IFERROR(VLOOKUP(N716,TD!$B$54:$F$58,4,0)," ")</f>
        <v>20240255</v>
      </c>
      <c r="X716" s="174" t="s">
        <v>164</v>
      </c>
      <c r="Y716" s="172" t="str">
        <f>IFERROR(VLOOKUP(X716,TD!$J$55:$K$68,2,0)," ")</f>
        <v>Servicio de atención a incidentes y emergencias.</v>
      </c>
      <c r="Z716" s="180" t="str">
        <f>CONCATENATE(X716,"-",Y716)</f>
        <v>04-Servicio de atención a incidentes y emergencias.</v>
      </c>
      <c r="AA716" s="174" t="s">
        <v>221</v>
      </c>
      <c r="AB716" s="172" t="str">
        <f>IFERROR(VLOOKUP(AA716,TD!$N$55:$O$70,2,0)," ")</f>
        <v>Servicio de atención a emergencias y desastres</v>
      </c>
      <c r="AC716" s="180" t="str">
        <f>CONCATENATE(AA716,"_",AB716)</f>
        <v>004_Servicio de atención a emergencias y desastres</v>
      </c>
      <c r="AD716" s="180" t="str">
        <f>CONCATENATE(Z716," ",AC716)</f>
        <v>04-Servicio de atención a incidentes y emergencias. 004_Servicio de atención a emergencias y desastres</v>
      </c>
      <c r="AE716" s="179" t="str">
        <f>CONCATENATE(U716,V716,W716,X716,AA716)</f>
        <v>O23011745032024025504004</v>
      </c>
      <c r="AF716" s="172" t="str">
        <f>IFERROR(VLOOKUP(AD716,TD!$J$70:$K$93,2,0)," ")</f>
        <v>PM/0131/0104/45030040255</v>
      </c>
      <c r="AG716" s="130" t="s">
        <v>385</v>
      </c>
      <c r="AH716" s="181" t="s">
        <v>194</v>
      </c>
      <c r="AI716" s="184" t="str">
        <f>CONCATENATE(PAA[[#This Row],[Id Interno]],"-",PAA[[#This Row],[tipo de Contrato (TH talento humano - B/S bienes y/o servicios)]],"-",S716,"-",T716,"-",PAA[[#This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717" spans="2:35" ht="84" x14ac:dyDescent="0.35">
      <c r="B717" s="146">
        <v>20260727</v>
      </c>
      <c r="C717" s="117" t="s">
        <v>1007</v>
      </c>
      <c r="D717" s="125" t="s">
        <v>105</v>
      </c>
      <c r="E717" s="125" t="s">
        <v>363</v>
      </c>
      <c r="F717" s="125" t="s">
        <v>144</v>
      </c>
      <c r="G717" s="192" t="s">
        <v>380</v>
      </c>
      <c r="H717" s="178">
        <v>4</v>
      </c>
      <c r="I717" s="178">
        <v>0</v>
      </c>
      <c r="J717" s="127">
        <v>22500000</v>
      </c>
      <c r="K717" s="128" t="s">
        <v>398</v>
      </c>
      <c r="L717" s="176" t="s">
        <v>158</v>
      </c>
      <c r="M717" s="174" t="s">
        <v>421</v>
      </c>
      <c r="N717" s="125" t="s">
        <v>198</v>
      </c>
      <c r="O717" s="174" t="s">
        <v>887</v>
      </c>
      <c r="P717" s="174" t="s">
        <v>348</v>
      </c>
      <c r="Q717" s="129">
        <v>80111600</v>
      </c>
      <c r="R717" s="174" t="s">
        <v>211</v>
      </c>
      <c r="S717" s="174" t="str">
        <f>MID(PAA[[#This Row],[Meta Proyecto de Inversión]],1,4)</f>
        <v>8173</v>
      </c>
      <c r="T717" s="174" t="str">
        <f>MID(PAA[[#This Row],[Meta Proyecto de Inversión]],6,2)</f>
        <v>2-</v>
      </c>
      <c r="U717" s="179" t="str">
        <f>IFERROR(VLOOKUP(N717,TD!$B$54:$F$58,2,0)," ")</f>
        <v>O230117</v>
      </c>
      <c r="V717" s="179" t="str">
        <f>IFERROR(VLOOKUP(N717,TD!$B$54:$F$58,3,0)," ")</f>
        <v>4503</v>
      </c>
      <c r="W717" s="179">
        <f>IFERROR(VLOOKUP(N717,TD!$B$54:$F$58,4,0)," ")</f>
        <v>20240255</v>
      </c>
      <c r="X717" s="174" t="s">
        <v>164</v>
      </c>
      <c r="Y717" s="172" t="str">
        <f>IFERROR(VLOOKUP(X717,TD!$J$55:$K$68,2,0)," ")</f>
        <v>Servicio de atención a incidentes y emergencias.</v>
      </c>
      <c r="Z717" s="180" t="str">
        <f>CONCATENATE(X717,"-",Y717)</f>
        <v>04-Servicio de atención a incidentes y emergencias.</v>
      </c>
      <c r="AA717" s="174" t="s">
        <v>221</v>
      </c>
      <c r="AB717" s="172" t="str">
        <f>IFERROR(VLOOKUP(AA717,TD!$N$55:$O$70,2,0)," ")</f>
        <v>Servicio de atención a emergencias y desastres</v>
      </c>
      <c r="AC717" s="180" t="str">
        <f>CONCATENATE(AA717,"_",AB717)</f>
        <v>004_Servicio de atención a emergencias y desastres</v>
      </c>
      <c r="AD717" s="180" t="str">
        <f>CONCATENATE(Z717," ",AC717)</f>
        <v>04-Servicio de atención a incidentes y emergencias. 004_Servicio de atención a emergencias y desastres</v>
      </c>
      <c r="AE717" s="179" t="str">
        <f>CONCATENATE(U717,V717,W717,X717,AA717)</f>
        <v>O23011745032024025504004</v>
      </c>
      <c r="AF717" s="172" t="str">
        <f>IFERROR(VLOOKUP(AD717,TD!$J$70:$K$93,2,0)," ")</f>
        <v>PM/0131/0104/45030040255</v>
      </c>
      <c r="AG717" s="130" t="s">
        <v>385</v>
      </c>
      <c r="AH717" s="181" t="s">
        <v>194</v>
      </c>
      <c r="AI717" s="184" t="str">
        <f>CONCATENATE(PAA[[#This Row],[Id Interno]],"-",PAA[[#This Row],[tipo de Contrato (TH talento humano - B/S bienes y/o servicios)]],"-",S717,"-",T717,"-",PAA[[#This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718" spans="2:35" ht="84" x14ac:dyDescent="0.35">
      <c r="B718" s="146">
        <v>20260728</v>
      </c>
      <c r="C718" s="117" t="s">
        <v>1008</v>
      </c>
      <c r="D718" s="125" t="s">
        <v>105</v>
      </c>
      <c r="E718" s="125" t="s">
        <v>363</v>
      </c>
      <c r="F718" s="125" t="s">
        <v>144</v>
      </c>
      <c r="G718" s="192" t="s">
        <v>381</v>
      </c>
      <c r="H718" s="178">
        <v>3</v>
      </c>
      <c r="I718" s="178">
        <v>0</v>
      </c>
      <c r="J718" s="127">
        <v>21600000</v>
      </c>
      <c r="K718" s="128" t="s">
        <v>398</v>
      </c>
      <c r="L718" s="176" t="s">
        <v>158</v>
      </c>
      <c r="M718" s="174" t="s">
        <v>421</v>
      </c>
      <c r="N718" s="125" t="s">
        <v>198</v>
      </c>
      <c r="O718" s="174" t="s">
        <v>887</v>
      </c>
      <c r="P718" s="174" t="s">
        <v>348</v>
      </c>
      <c r="Q718" s="129">
        <v>80111600</v>
      </c>
      <c r="R718" s="174" t="s">
        <v>211</v>
      </c>
      <c r="S718" s="174" t="str">
        <f>MID(PAA[[#This Row],[Meta Proyecto de Inversión]],1,4)</f>
        <v>8173</v>
      </c>
      <c r="T718" s="174" t="str">
        <f>MID(PAA[[#This Row],[Meta Proyecto de Inversión]],6,2)</f>
        <v>2-</v>
      </c>
      <c r="U718" s="179" t="str">
        <f>IFERROR(VLOOKUP(N718,TD!$B$54:$F$58,2,0)," ")</f>
        <v>O230117</v>
      </c>
      <c r="V718" s="179" t="str">
        <f>IFERROR(VLOOKUP(N718,TD!$B$54:$F$58,3,0)," ")</f>
        <v>4503</v>
      </c>
      <c r="W718" s="179">
        <f>IFERROR(VLOOKUP(N718,TD!$B$54:$F$58,4,0)," ")</f>
        <v>20240255</v>
      </c>
      <c r="X718" s="174" t="s">
        <v>164</v>
      </c>
      <c r="Y718" s="172" t="str">
        <f>IFERROR(VLOOKUP(X718,TD!$J$55:$K$68,2,0)," ")</f>
        <v>Servicio de atención a incidentes y emergencias.</v>
      </c>
      <c r="Z718" s="180" t="str">
        <f>CONCATENATE(X718,"-",Y718)</f>
        <v>04-Servicio de atención a incidentes y emergencias.</v>
      </c>
      <c r="AA718" s="174" t="s">
        <v>221</v>
      </c>
      <c r="AB718" s="172" t="str">
        <f>IFERROR(VLOOKUP(AA718,TD!$N$55:$O$70,2,0)," ")</f>
        <v>Servicio de atención a emergencias y desastres</v>
      </c>
      <c r="AC718" s="180" t="str">
        <f>CONCATENATE(AA718,"_",AB718)</f>
        <v>004_Servicio de atención a emergencias y desastres</v>
      </c>
      <c r="AD718" s="180" t="str">
        <f>CONCATENATE(Z718," ",AC718)</f>
        <v>04-Servicio de atención a incidentes y emergencias. 004_Servicio de atención a emergencias y desastres</v>
      </c>
      <c r="AE718" s="179" t="str">
        <f>CONCATENATE(U718,V718,W718,X718,AA718)</f>
        <v>O23011745032024025504004</v>
      </c>
      <c r="AF718" s="172" t="str">
        <f>IFERROR(VLOOKUP(AD718,TD!$J$70:$K$93,2,0)," ")</f>
        <v>PM/0131/0104/45030040255</v>
      </c>
      <c r="AG718" s="130" t="s">
        <v>385</v>
      </c>
      <c r="AH718" s="181" t="s">
        <v>194</v>
      </c>
      <c r="AI718" s="184" t="str">
        <f>CONCATENATE(PAA[[#This Row],[Id Interno]],"-",PAA[[#This Row],[tipo de Contrato (TH talento humano - B/S bienes y/o servicios)]],"-",S718,"-",T718,"-",PAA[[#This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719" spans="2:35" ht="84" x14ac:dyDescent="0.35">
      <c r="B719" s="146">
        <v>20260729</v>
      </c>
      <c r="C719" s="117" t="s">
        <v>1009</v>
      </c>
      <c r="D719" s="125" t="s">
        <v>105</v>
      </c>
      <c r="E719" s="125" t="s">
        <v>363</v>
      </c>
      <c r="F719" s="125" t="s">
        <v>145</v>
      </c>
      <c r="G719" s="192" t="s">
        <v>381</v>
      </c>
      <c r="H719" s="178">
        <v>3</v>
      </c>
      <c r="I719" s="178">
        <v>0</v>
      </c>
      <c r="J719" s="127">
        <v>8970000</v>
      </c>
      <c r="K719" s="128" t="s">
        <v>398</v>
      </c>
      <c r="L719" s="176" t="s">
        <v>158</v>
      </c>
      <c r="M719" s="174" t="s">
        <v>421</v>
      </c>
      <c r="N719" s="125" t="s">
        <v>198</v>
      </c>
      <c r="O719" s="174" t="s">
        <v>887</v>
      </c>
      <c r="P719" s="174" t="s">
        <v>348</v>
      </c>
      <c r="Q719" s="129">
        <v>80111600</v>
      </c>
      <c r="R719" s="174" t="s">
        <v>211</v>
      </c>
      <c r="S719" s="174" t="str">
        <f>MID(PAA[[#This Row],[Meta Proyecto de Inversión]],1,4)</f>
        <v>8173</v>
      </c>
      <c r="T719" s="174" t="str">
        <f>MID(PAA[[#This Row],[Meta Proyecto de Inversión]],6,2)</f>
        <v>2-</v>
      </c>
      <c r="U719" s="179" t="str">
        <f>IFERROR(VLOOKUP(N719,TD!$B$54:$F$58,2,0)," ")</f>
        <v>O230117</v>
      </c>
      <c r="V719" s="179" t="str">
        <f>IFERROR(VLOOKUP(N719,TD!$B$54:$F$58,3,0)," ")</f>
        <v>4503</v>
      </c>
      <c r="W719" s="179">
        <f>IFERROR(VLOOKUP(N719,TD!$B$54:$F$58,4,0)," ")</f>
        <v>20240255</v>
      </c>
      <c r="X719" s="174" t="s">
        <v>164</v>
      </c>
      <c r="Y719" s="172" t="str">
        <f>IFERROR(VLOOKUP(X719,TD!$J$55:$K$68,2,0)," ")</f>
        <v>Servicio de atención a incidentes y emergencias.</v>
      </c>
      <c r="Z719" s="180" t="str">
        <f>CONCATENATE(X719,"-",Y719)</f>
        <v>04-Servicio de atención a incidentes y emergencias.</v>
      </c>
      <c r="AA719" s="174" t="s">
        <v>221</v>
      </c>
      <c r="AB719" s="172" t="str">
        <f>IFERROR(VLOOKUP(AA719,TD!$N$55:$O$70,2,0)," ")</f>
        <v>Servicio de atención a emergencias y desastres</v>
      </c>
      <c r="AC719" s="180" t="str">
        <f>CONCATENATE(AA719,"_",AB719)</f>
        <v>004_Servicio de atención a emergencias y desastres</v>
      </c>
      <c r="AD719" s="180" t="str">
        <f>CONCATENATE(Z719," ",AC719)</f>
        <v>04-Servicio de atención a incidentes y emergencias. 004_Servicio de atención a emergencias y desastres</v>
      </c>
      <c r="AE719" s="179" t="str">
        <f>CONCATENATE(U719,V719,W719,X719,AA719)</f>
        <v>O23011745032024025504004</v>
      </c>
      <c r="AF719" s="172" t="str">
        <f>IFERROR(VLOOKUP(AD719,TD!$J$70:$K$93,2,0)," ")</f>
        <v>PM/0131/0104/45030040255</v>
      </c>
      <c r="AG719" s="130" t="s">
        <v>385</v>
      </c>
      <c r="AH719" s="181" t="s">
        <v>194</v>
      </c>
      <c r="AI719" s="184" t="str">
        <f>CONCATENATE(PAA[[#This Row],[Id Interno]],"-",PAA[[#This Row],[tipo de Contrato (TH talento humano - B/S bienes y/o servicios)]],"-",S719,"-",T719,"-",PAA[[#This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720" spans="2:35" ht="70" x14ac:dyDescent="0.35">
      <c r="B720" s="146">
        <v>20260730</v>
      </c>
      <c r="C720" s="117" t="s">
        <v>1010</v>
      </c>
      <c r="D720" s="125" t="s">
        <v>105</v>
      </c>
      <c r="E720" s="125" t="s">
        <v>363</v>
      </c>
      <c r="F720" s="125" t="s">
        <v>145</v>
      </c>
      <c r="G720" s="192" t="s">
        <v>381</v>
      </c>
      <c r="H720" s="178">
        <v>3</v>
      </c>
      <c r="I720" s="178">
        <v>0</v>
      </c>
      <c r="J720" s="127">
        <v>8970000</v>
      </c>
      <c r="K720" s="128" t="s">
        <v>398</v>
      </c>
      <c r="L720" s="176" t="s">
        <v>158</v>
      </c>
      <c r="M720" s="174" t="s">
        <v>421</v>
      </c>
      <c r="N720" s="125" t="s">
        <v>198</v>
      </c>
      <c r="O720" s="174" t="s">
        <v>887</v>
      </c>
      <c r="P720" s="174" t="s">
        <v>348</v>
      </c>
      <c r="Q720" s="129">
        <v>80111600</v>
      </c>
      <c r="R720" s="174" t="s">
        <v>211</v>
      </c>
      <c r="S720" s="174" t="str">
        <f>MID(PAA[[#This Row],[Meta Proyecto de Inversión]],1,4)</f>
        <v>8173</v>
      </c>
      <c r="T720" s="174" t="str">
        <f>MID(PAA[[#This Row],[Meta Proyecto de Inversión]],6,2)</f>
        <v>2-</v>
      </c>
      <c r="U720" s="179" t="str">
        <f>IFERROR(VLOOKUP(N720,TD!$B$54:$F$58,2,0)," ")</f>
        <v>O230117</v>
      </c>
      <c r="V720" s="179" t="str">
        <f>IFERROR(VLOOKUP(N720,TD!$B$54:$F$58,3,0)," ")</f>
        <v>4503</v>
      </c>
      <c r="W720" s="179">
        <f>IFERROR(VLOOKUP(N720,TD!$B$54:$F$58,4,0)," ")</f>
        <v>20240255</v>
      </c>
      <c r="X720" s="174" t="s">
        <v>164</v>
      </c>
      <c r="Y720" s="172" t="str">
        <f>IFERROR(VLOOKUP(X720,TD!$J$55:$K$68,2,0)," ")</f>
        <v>Servicio de atención a incidentes y emergencias.</v>
      </c>
      <c r="Z720" s="180" t="str">
        <f>CONCATENATE(X720,"-",Y720)</f>
        <v>04-Servicio de atención a incidentes y emergencias.</v>
      </c>
      <c r="AA720" s="174" t="s">
        <v>221</v>
      </c>
      <c r="AB720" s="172" t="str">
        <f>IFERROR(VLOOKUP(AA720,TD!$N$55:$O$70,2,0)," ")</f>
        <v>Servicio de atención a emergencias y desastres</v>
      </c>
      <c r="AC720" s="180" t="str">
        <f>CONCATENATE(AA720,"_",AB720)</f>
        <v>004_Servicio de atención a emergencias y desastres</v>
      </c>
      <c r="AD720" s="180" t="str">
        <f>CONCATENATE(Z720," ",AC720)</f>
        <v>04-Servicio de atención a incidentes y emergencias. 004_Servicio de atención a emergencias y desastres</v>
      </c>
      <c r="AE720" s="179" t="str">
        <f>CONCATENATE(U720,V720,W720,X720,AA720)</f>
        <v>O23011745032024025504004</v>
      </c>
      <c r="AF720" s="172" t="str">
        <f>IFERROR(VLOOKUP(AD720,TD!$J$70:$K$93,2,0)," ")</f>
        <v>PM/0131/0104/45030040255</v>
      </c>
      <c r="AG720" s="130" t="s">
        <v>385</v>
      </c>
      <c r="AH720" s="181" t="s">
        <v>194</v>
      </c>
      <c r="AI720" s="184" t="str">
        <f>CONCATENATE(PAA[[#This Row],[Id Interno]],"-",PAA[[#This Row],[tipo de Contrato (TH talento humano - B/S bienes y/o servicios)]],"-",S720,"-",T720,"-",PAA[[#This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721" spans="2:35" ht="70" x14ac:dyDescent="0.35">
      <c r="B721" s="146">
        <v>20260731</v>
      </c>
      <c r="C721" s="117" t="s">
        <v>1011</v>
      </c>
      <c r="D721" s="125" t="s">
        <v>105</v>
      </c>
      <c r="E721" s="125" t="s">
        <v>363</v>
      </c>
      <c r="F721" s="125" t="s">
        <v>145</v>
      </c>
      <c r="G721" s="192" t="s">
        <v>381</v>
      </c>
      <c r="H721" s="178">
        <v>3</v>
      </c>
      <c r="I721" s="178">
        <v>0</v>
      </c>
      <c r="J721" s="127">
        <v>8970000</v>
      </c>
      <c r="K721" s="128" t="s">
        <v>398</v>
      </c>
      <c r="L721" s="176" t="s">
        <v>158</v>
      </c>
      <c r="M721" s="174" t="s">
        <v>421</v>
      </c>
      <c r="N721" s="125" t="s">
        <v>198</v>
      </c>
      <c r="O721" s="174" t="s">
        <v>887</v>
      </c>
      <c r="P721" s="174" t="s">
        <v>348</v>
      </c>
      <c r="Q721" s="129">
        <v>80111600</v>
      </c>
      <c r="R721" s="174" t="s">
        <v>211</v>
      </c>
      <c r="S721" s="174" t="str">
        <f>MID(PAA[[#This Row],[Meta Proyecto de Inversión]],1,4)</f>
        <v>8173</v>
      </c>
      <c r="T721" s="174" t="str">
        <f>MID(PAA[[#This Row],[Meta Proyecto de Inversión]],6,2)</f>
        <v>2-</v>
      </c>
      <c r="U721" s="179" t="str">
        <f>IFERROR(VLOOKUP(N721,TD!$B$54:$F$58,2,0)," ")</f>
        <v>O230117</v>
      </c>
      <c r="V721" s="179" t="str">
        <f>IFERROR(VLOOKUP(N721,TD!$B$54:$F$58,3,0)," ")</f>
        <v>4503</v>
      </c>
      <c r="W721" s="179">
        <f>IFERROR(VLOOKUP(N721,TD!$B$54:$F$58,4,0)," ")</f>
        <v>20240255</v>
      </c>
      <c r="X721" s="174" t="s">
        <v>164</v>
      </c>
      <c r="Y721" s="172" t="str">
        <f>IFERROR(VLOOKUP(X721,TD!$J$55:$K$68,2,0)," ")</f>
        <v>Servicio de atención a incidentes y emergencias.</v>
      </c>
      <c r="Z721" s="180" t="str">
        <f>CONCATENATE(X721,"-",Y721)</f>
        <v>04-Servicio de atención a incidentes y emergencias.</v>
      </c>
      <c r="AA721" s="174" t="s">
        <v>221</v>
      </c>
      <c r="AB721" s="172" t="str">
        <f>IFERROR(VLOOKUP(AA721,TD!$N$55:$O$70,2,0)," ")</f>
        <v>Servicio de atención a emergencias y desastres</v>
      </c>
      <c r="AC721" s="180" t="str">
        <f>CONCATENATE(AA721,"_",AB721)</f>
        <v>004_Servicio de atención a emergencias y desastres</v>
      </c>
      <c r="AD721" s="180" t="str">
        <f>CONCATENATE(Z721," ",AC721)</f>
        <v>04-Servicio de atención a incidentes y emergencias. 004_Servicio de atención a emergencias y desastres</v>
      </c>
      <c r="AE721" s="179" t="str">
        <f>CONCATENATE(U721,V721,W721,X721,AA721)</f>
        <v>O23011745032024025504004</v>
      </c>
      <c r="AF721" s="172" t="str">
        <f>IFERROR(VLOOKUP(AD721,TD!$J$70:$K$93,2,0)," ")</f>
        <v>PM/0131/0104/45030040255</v>
      </c>
      <c r="AG721" s="130" t="s">
        <v>385</v>
      </c>
      <c r="AH721" s="181" t="s">
        <v>194</v>
      </c>
      <c r="AI721" s="184" t="str">
        <f>CONCATENATE(PAA[[#This Row],[Id Interno]],"-",PAA[[#This Row],[tipo de Contrato (TH talento humano - B/S bienes y/o servicios)]],"-",S721,"-",T721,"-",PAA[[#This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722" spans="2:35" ht="70" x14ac:dyDescent="0.35">
      <c r="B722" s="146">
        <v>20260732</v>
      </c>
      <c r="C722" s="117" t="s">
        <v>1012</v>
      </c>
      <c r="D722" s="125" t="s">
        <v>105</v>
      </c>
      <c r="E722" s="125" t="s">
        <v>363</v>
      </c>
      <c r="F722" s="125" t="s">
        <v>145</v>
      </c>
      <c r="G722" s="192" t="s">
        <v>381</v>
      </c>
      <c r="H722" s="178">
        <v>3</v>
      </c>
      <c r="I722" s="178">
        <v>0</v>
      </c>
      <c r="J722" s="127">
        <v>8970000</v>
      </c>
      <c r="K722" s="128" t="s">
        <v>398</v>
      </c>
      <c r="L722" s="176" t="s">
        <v>158</v>
      </c>
      <c r="M722" s="174" t="s">
        <v>421</v>
      </c>
      <c r="N722" s="125" t="s">
        <v>198</v>
      </c>
      <c r="O722" s="174" t="s">
        <v>887</v>
      </c>
      <c r="P722" s="174" t="s">
        <v>348</v>
      </c>
      <c r="Q722" s="129">
        <v>80111600</v>
      </c>
      <c r="R722" s="174" t="s">
        <v>211</v>
      </c>
      <c r="S722" s="174" t="str">
        <f>MID(PAA[[#This Row],[Meta Proyecto de Inversión]],1,4)</f>
        <v>8173</v>
      </c>
      <c r="T722" s="174" t="str">
        <f>MID(PAA[[#This Row],[Meta Proyecto de Inversión]],6,2)</f>
        <v>2-</v>
      </c>
      <c r="U722" s="179" t="str">
        <f>IFERROR(VLOOKUP(N722,TD!$B$54:$F$58,2,0)," ")</f>
        <v>O230117</v>
      </c>
      <c r="V722" s="179" t="str">
        <f>IFERROR(VLOOKUP(N722,TD!$B$54:$F$58,3,0)," ")</f>
        <v>4503</v>
      </c>
      <c r="W722" s="179">
        <f>IFERROR(VLOOKUP(N722,TD!$B$54:$F$58,4,0)," ")</f>
        <v>20240255</v>
      </c>
      <c r="X722" s="174" t="s">
        <v>164</v>
      </c>
      <c r="Y722" s="172" t="str">
        <f>IFERROR(VLOOKUP(X722,TD!$J$55:$K$68,2,0)," ")</f>
        <v>Servicio de atención a incidentes y emergencias.</v>
      </c>
      <c r="Z722" s="180" t="str">
        <f>CONCATENATE(X722,"-",Y722)</f>
        <v>04-Servicio de atención a incidentes y emergencias.</v>
      </c>
      <c r="AA722" s="174" t="s">
        <v>221</v>
      </c>
      <c r="AB722" s="172" t="str">
        <f>IFERROR(VLOOKUP(AA722,TD!$N$55:$O$70,2,0)," ")</f>
        <v>Servicio de atención a emergencias y desastres</v>
      </c>
      <c r="AC722" s="180" t="str">
        <f>CONCATENATE(AA722,"_",AB722)</f>
        <v>004_Servicio de atención a emergencias y desastres</v>
      </c>
      <c r="AD722" s="180" t="str">
        <f>CONCATENATE(Z722," ",AC722)</f>
        <v>04-Servicio de atención a incidentes y emergencias. 004_Servicio de atención a emergencias y desastres</v>
      </c>
      <c r="AE722" s="179" t="str">
        <f>CONCATENATE(U722,V722,W722,X722,AA722)</f>
        <v>O23011745032024025504004</v>
      </c>
      <c r="AF722" s="172" t="str">
        <f>IFERROR(VLOOKUP(AD722,TD!$J$70:$K$93,2,0)," ")</f>
        <v>PM/0131/0104/45030040255</v>
      </c>
      <c r="AG722" s="130" t="s">
        <v>385</v>
      </c>
      <c r="AH722" s="181" t="s">
        <v>194</v>
      </c>
      <c r="AI722" s="184" t="str">
        <f>CONCATENATE(PAA[[#This Row],[Id Interno]],"-",PAA[[#This Row],[tipo de Contrato (TH talento humano - B/S bienes y/o servicios)]],"-",S722,"-",T722,"-",PAA[[#This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23" spans="2:35" ht="70" x14ac:dyDescent="0.35">
      <c r="B723" s="146">
        <v>20260733</v>
      </c>
      <c r="C723" s="117" t="s">
        <v>1013</v>
      </c>
      <c r="D723" s="125" t="s">
        <v>105</v>
      </c>
      <c r="E723" s="125" t="s">
        <v>363</v>
      </c>
      <c r="F723" s="125" t="s">
        <v>145</v>
      </c>
      <c r="G723" s="192" t="s">
        <v>381</v>
      </c>
      <c r="H723" s="178">
        <v>3</v>
      </c>
      <c r="I723" s="178">
        <v>0</v>
      </c>
      <c r="J723" s="127">
        <v>8970000</v>
      </c>
      <c r="K723" s="128" t="s">
        <v>398</v>
      </c>
      <c r="L723" s="176" t="s">
        <v>158</v>
      </c>
      <c r="M723" s="174" t="s">
        <v>421</v>
      </c>
      <c r="N723" s="125" t="s">
        <v>198</v>
      </c>
      <c r="O723" s="174" t="s">
        <v>887</v>
      </c>
      <c r="P723" s="174" t="s">
        <v>348</v>
      </c>
      <c r="Q723" s="129">
        <v>80111600</v>
      </c>
      <c r="R723" s="174" t="s">
        <v>211</v>
      </c>
      <c r="S723" s="174" t="str">
        <f>MID(PAA[[#This Row],[Meta Proyecto de Inversión]],1,4)</f>
        <v>8173</v>
      </c>
      <c r="T723" s="174" t="str">
        <f>MID(PAA[[#This Row],[Meta Proyecto de Inversión]],6,2)</f>
        <v>2-</v>
      </c>
      <c r="U723" s="179" t="str">
        <f>IFERROR(VLOOKUP(N723,TD!$B$54:$F$58,2,0)," ")</f>
        <v>O230117</v>
      </c>
      <c r="V723" s="179" t="str">
        <f>IFERROR(VLOOKUP(N723,TD!$B$54:$F$58,3,0)," ")</f>
        <v>4503</v>
      </c>
      <c r="W723" s="179">
        <f>IFERROR(VLOOKUP(N723,TD!$B$54:$F$58,4,0)," ")</f>
        <v>20240255</v>
      </c>
      <c r="X723" s="174" t="s">
        <v>164</v>
      </c>
      <c r="Y723" s="172" t="str">
        <f>IFERROR(VLOOKUP(X723,TD!$J$55:$K$68,2,0)," ")</f>
        <v>Servicio de atención a incidentes y emergencias.</v>
      </c>
      <c r="Z723" s="180" t="str">
        <f>CONCATENATE(X723,"-",Y723)</f>
        <v>04-Servicio de atención a incidentes y emergencias.</v>
      </c>
      <c r="AA723" s="174" t="s">
        <v>221</v>
      </c>
      <c r="AB723" s="172" t="str">
        <f>IFERROR(VLOOKUP(AA723,TD!$N$55:$O$70,2,0)," ")</f>
        <v>Servicio de atención a emergencias y desastres</v>
      </c>
      <c r="AC723" s="180" t="str">
        <f>CONCATENATE(AA723,"_",AB723)</f>
        <v>004_Servicio de atención a emergencias y desastres</v>
      </c>
      <c r="AD723" s="180" t="str">
        <f>CONCATENATE(Z723," ",AC723)</f>
        <v>04-Servicio de atención a incidentes y emergencias. 004_Servicio de atención a emergencias y desastres</v>
      </c>
      <c r="AE723" s="179" t="str">
        <f>CONCATENATE(U723,V723,W723,X723,AA723)</f>
        <v>O23011745032024025504004</v>
      </c>
      <c r="AF723" s="172" t="str">
        <f>IFERROR(VLOOKUP(AD723,TD!$J$70:$K$93,2,0)," ")</f>
        <v>PM/0131/0104/45030040255</v>
      </c>
      <c r="AG723" s="130" t="s">
        <v>385</v>
      </c>
      <c r="AH723" s="181" t="s">
        <v>194</v>
      </c>
      <c r="AI723" s="184" t="str">
        <f>CONCATENATE(PAA[[#This Row],[Id Interno]],"-",PAA[[#This Row],[tipo de Contrato (TH talento humano - B/S bienes y/o servicios)]],"-",S723,"-",T723,"-",PAA[[#This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24" spans="2:35" ht="70" x14ac:dyDescent="0.35">
      <c r="B724" s="146">
        <v>20260734</v>
      </c>
      <c r="C724" s="117" t="s">
        <v>1014</v>
      </c>
      <c r="D724" s="125" t="s">
        <v>105</v>
      </c>
      <c r="E724" s="125" t="s">
        <v>363</v>
      </c>
      <c r="F724" s="125" t="s">
        <v>145</v>
      </c>
      <c r="G724" s="192" t="s">
        <v>381</v>
      </c>
      <c r="H724" s="178">
        <v>3</v>
      </c>
      <c r="I724" s="178">
        <v>0</v>
      </c>
      <c r="J724" s="127">
        <v>8970000</v>
      </c>
      <c r="K724" s="128" t="s">
        <v>398</v>
      </c>
      <c r="L724" s="176" t="s">
        <v>158</v>
      </c>
      <c r="M724" s="174" t="s">
        <v>421</v>
      </c>
      <c r="N724" s="125" t="s">
        <v>198</v>
      </c>
      <c r="O724" s="174" t="s">
        <v>887</v>
      </c>
      <c r="P724" s="174" t="s">
        <v>348</v>
      </c>
      <c r="Q724" s="129">
        <v>80111600</v>
      </c>
      <c r="R724" s="174" t="s">
        <v>211</v>
      </c>
      <c r="S724" s="174" t="str">
        <f>MID(PAA[[#This Row],[Meta Proyecto de Inversión]],1,4)</f>
        <v>8173</v>
      </c>
      <c r="T724" s="174" t="str">
        <f>MID(PAA[[#This Row],[Meta Proyecto de Inversión]],6,2)</f>
        <v>2-</v>
      </c>
      <c r="U724" s="179" t="str">
        <f>IFERROR(VLOOKUP(N724,TD!$B$54:$F$58,2,0)," ")</f>
        <v>O230117</v>
      </c>
      <c r="V724" s="179" t="str">
        <f>IFERROR(VLOOKUP(N724,TD!$B$54:$F$58,3,0)," ")</f>
        <v>4503</v>
      </c>
      <c r="W724" s="179">
        <f>IFERROR(VLOOKUP(N724,TD!$B$54:$F$58,4,0)," ")</f>
        <v>20240255</v>
      </c>
      <c r="X724" s="174" t="s">
        <v>164</v>
      </c>
      <c r="Y724" s="172" t="str">
        <f>IFERROR(VLOOKUP(X724,TD!$J$55:$K$68,2,0)," ")</f>
        <v>Servicio de atención a incidentes y emergencias.</v>
      </c>
      <c r="Z724" s="180" t="str">
        <f>CONCATENATE(X724,"-",Y724)</f>
        <v>04-Servicio de atención a incidentes y emergencias.</v>
      </c>
      <c r="AA724" s="174" t="s">
        <v>221</v>
      </c>
      <c r="AB724" s="172" t="str">
        <f>IFERROR(VLOOKUP(AA724,TD!$N$55:$O$70,2,0)," ")</f>
        <v>Servicio de atención a emergencias y desastres</v>
      </c>
      <c r="AC724" s="180" t="str">
        <f>CONCATENATE(AA724,"_",AB724)</f>
        <v>004_Servicio de atención a emergencias y desastres</v>
      </c>
      <c r="AD724" s="180" t="str">
        <f>CONCATENATE(Z724," ",AC724)</f>
        <v>04-Servicio de atención a incidentes y emergencias. 004_Servicio de atención a emergencias y desastres</v>
      </c>
      <c r="AE724" s="179" t="str">
        <f>CONCATENATE(U724,V724,W724,X724,AA724)</f>
        <v>O23011745032024025504004</v>
      </c>
      <c r="AF724" s="172" t="str">
        <f>IFERROR(VLOOKUP(AD724,TD!$J$70:$K$93,2,0)," ")</f>
        <v>PM/0131/0104/45030040255</v>
      </c>
      <c r="AG724" s="130" t="s">
        <v>385</v>
      </c>
      <c r="AH724" s="181" t="s">
        <v>194</v>
      </c>
      <c r="AI724" s="184" t="str">
        <f>CONCATENATE(PAA[[#This Row],[Id Interno]],"-",PAA[[#This Row],[tipo de Contrato (TH talento humano - B/S bienes y/o servicios)]],"-",S724,"-",T724,"-",PAA[[#This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25" spans="2:35" ht="70" x14ac:dyDescent="0.35">
      <c r="B725" s="146">
        <v>20260735</v>
      </c>
      <c r="C725" s="117" t="s">
        <v>1015</v>
      </c>
      <c r="D725" s="125" t="s">
        <v>105</v>
      </c>
      <c r="E725" s="125" t="s">
        <v>363</v>
      </c>
      <c r="F725" s="125" t="s">
        <v>145</v>
      </c>
      <c r="G725" s="192" t="s">
        <v>381</v>
      </c>
      <c r="H725" s="178">
        <v>3</v>
      </c>
      <c r="I725" s="178">
        <v>0</v>
      </c>
      <c r="J725" s="127">
        <v>8970000</v>
      </c>
      <c r="K725" s="128" t="s">
        <v>398</v>
      </c>
      <c r="L725" s="176" t="s">
        <v>158</v>
      </c>
      <c r="M725" s="174" t="s">
        <v>421</v>
      </c>
      <c r="N725" s="125" t="s">
        <v>198</v>
      </c>
      <c r="O725" s="174" t="s">
        <v>887</v>
      </c>
      <c r="P725" s="174" t="s">
        <v>348</v>
      </c>
      <c r="Q725" s="129">
        <v>80111600</v>
      </c>
      <c r="R725" s="174" t="s">
        <v>211</v>
      </c>
      <c r="S725" s="174" t="str">
        <f>MID(PAA[[#This Row],[Meta Proyecto de Inversión]],1,4)</f>
        <v>8173</v>
      </c>
      <c r="T725" s="174" t="str">
        <f>MID(PAA[[#This Row],[Meta Proyecto de Inversión]],6,2)</f>
        <v>2-</v>
      </c>
      <c r="U725" s="179" t="str">
        <f>IFERROR(VLOOKUP(N725,TD!$B$54:$F$58,2,0)," ")</f>
        <v>O230117</v>
      </c>
      <c r="V725" s="179" t="str">
        <f>IFERROR(VLOOKUP(N725,TD!$B$54:$F$58,3,0)," ")</f>
        <v>4503</v>
      </c>
      <c r="W725" s="179">
        <f>IFERROR(VLOOKUP(N725,TD!$B$54:$F$58,4,0)," ")</f>
        <v>20240255</v>
      </c>
      <c r="X725" s="174" t="s">
        <v>164</v>
      </c>
      <c r="Y725" s="172" t="str">
        <f>IFERROR(VLOOKUP(X725,TD!$J$55:$K$68,2,0)," ")</f>
        <v>Servicio de atención a incidentes y emergencias.</v>
      </c>
      <c r="Z725" s="180" t="str">
        <f>CONCATENATE(X725,"-",Y725)</f>
        <v>04-Servicio de atención a incidentes y emergencias.</v>
      </c>
      <c r="AA725" s="174" t="s">
        <v>221</v>
      </c>
      <c r="AB725" s="172" t="str">
        <f>IFERROR(VLOOKUP(AA725,TD!$N$55:$O$70,2,0)," ")</f>
        <v>Servicio de atención a emergencias y desastres</v>
      </c>
      <c r="AC725" s="180" t="str">
        <f>CONCATENATE(AA725,"_",AB725)</f>
        <v>004_Servicio de atención a emergencias y desastres</v>
      </c>
      <c r="AD725" s="180" t="str">
        <f>CONCATENATE(Z725," ",AC725)</f>
        <v>04-Servicio de atención a incidentes y emergencias. 004_Servicio de atención a emergencias y desastres</v>
      </c>
      <c r="AE725" s="179" t="str">
        <f>CONCATENATE(U725,V725,W725,X725,AA725)</f>
        <v>O23011745032024025504004</v>
      </c>
      <c r="AF725" s="172" t="str">
        <f>IFERROR(VLOOKUP(AD725,TD!$J$70:$K$93,2,0)," ")</f>
        <v>PM/0131/0104/45030040255</v>
      </c>
      <c r="AG725" s="130" t="s">
        <v>385</v>
      </c>
      <c r="AH725" s="181" t="s">
        <v>194</v>
      </c>
      <c r="AI725" s="184" t="str">
        <f>CONCATENATE(PAA[[#This Row],[Id Interno]],"-",PAA[[#This Row],[tipo de Contrato (TH talento humano - B/S bienes y/o servicios)]],"-",S725,"-",T725,"-",PAA[[#This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26" spans="2:35" ht="70" x14ac:dyDescent="0.35">
      <c r="B726" s="146">
        <v>20260736</v>
      </c>
      <c r="C726" s="117" t="s">
        <v>1016</v>
      </c>
      <c r="D726" s="125" t="s">
        <v>105</v>
      </c>
      <c r="E726" s="125" t="s">
        <v>363</v>
      </c>
      <c r="F726" s="125" t="s">
        <v>145</v>
      </c>
      <c r="G726" s="192" t="s">
        <v>381</v>
      </c>
      <c r="H726" s="178">
        <v>3</v>
      </c>
      <c r="I726" s="178">
        <v>0</v>
      </c>
      <c r="J726" s="127">
        <v>9900000</v>
      </c>
      <c r="K726" s="128" t="s">
        <v>398</v>
      </c>
      <c r="L726" s="176" t="s">
        <v>158</v>
      </c>
      <c r="M726" s="174" t="s">
        <v>421</v>
      </c>
      <c r="N726" s="125" t="s">
        <v>198</v>
      </c>
      <c r="O726" s="174" t="s">
        <v>887</v>
      </c>
      <c r="P726" s="174" t="s">
        <v>348</v>
      </c>
      <c r="Q726" s="129">
        <v>80111600</v>
      </c>
      <c r="R726" s="174" t="s">
        <v>211</v>
      </c>
      <c r="S726" s="174" t="str">
        <f>MID(PAA[[#This Row],[Meta Proyecto de Inversión]],1,4)</f>
        <v>8173</v>
      </c>
      <c r="T726" s="174" t="str">
        <f>MID(PAA[[#This Row],[Meta Proyecto de Inversión]],6,2)</f>
        <v>2-</v>
      </c>
      <c r="U726" s="179" t="str">
        <f>IFERROR(VLOOKUP(N726,TD!$B$54:$F$58,2,0)," ")</f>
        <v>O230117</v>
      </c>
      <c r="V726" s="179" t="str">
        <f>IFERROR(VLOOKUP(N726,TD!$B$54:$F$58,3,0)," ")</f>
        <v>4503</v>
      </c>
      <c r="W726" s="179">
        <f>IFERROR(VLOOKUP(N726,TD!$B$54:$F$58,4,0)," ")</f>
        <v>20240255</v>
      </c>
      <c r="X726" s="174" t="s">
        <v>164</v>
      </c>
      <c r="Y726" s="172" t="str">
        <f>IFERROR(VLOOKUP(X726,TD!$J$55:$K$68,2,0)," ")</f>
        <v>Servicio de atención a incidentes y emergencias.</v>
      </c>
      <c r="Z726" s="180" t="str">
        <f>CONCATENATE(X726,"-",Y726)</f>
        <v>04-Servicio de atención a incidentes y emergencias.</v>
      </c>
      <c r="AA726" s="174" t="s">
        <v>221</v>
      </c>
      <c r="AB726" s="172" t="str">
        <f>IFERROR(VLOOKUP(AA726,TD!$N$55:$O$70,2,0)," ")</f>
        <v>Servicio de atención a emergencias y desastres</v>
      </c>
      <c r="AC726" s="180" t="str">
        <f>CONCATENATE(AA726,"_",AB726)</f>
        <v>004_Servicio de atención a emergencias y desastres</v>
      </c>
      <c r="AD726" s="180" t="str">
        <f>CONCATENATE(Z726," ",AC726)</f>
        <v>04-Servicio de atención a incidentes y emergencias. 004_Servicio de atención a emergencias y desastres</v>
      </c>
      <c r="AE726" s="179" t="str">
        <f>CONCATENATE(U726,V726,W726,X726,AA726)</f>
        <v>O23011745032024025504004</v>
      </c>
      <c r="AF726" s="172" t="str">
        <f>IFERROR(VLOOKUP(AD726,TD!$J$70:$K$93,2,0)," ")</f>
        <v>PM/0131/0104/45030040255</v>
      </c>
      <c r="AG726" s="130" t="s">
        <v>385</v>
      </c>
      <c r="AH726" s="181" t="s">
        <v>194</v>
      </c>
      <c r="AI726" s="184" t="str">
        <f>CONCATENATE(PAA[[#This Row],[Id Interno]],"-",PAA[[#This Row],[tipo de Contrato (TH talento humano - B/S bienes y/o servicios)]],"-",S726,"-",T726,"-",PAA[[#This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27" spans="2:35" ht="84" x14ac:dyDescent="0.35">
      <c r="B727" s="146">
        <v>20260737</v>
      </c>
      <c r="C727" s="117" t="s">
        <v>1017</v>
      </c>
      <c r="D727" s="125" t="s">
        <v>105</v>
      </c>
      <c r="E727" s="125" t="s">
        <v>363</v>
      </c>
      <c r="F727" s="125" t="s">
        <v>144</v>
      </c>
      <c r="G727" s="192" t="s">
        <v>381</v>
      </c>
      <c r="H727" s="178">
        <v>3</v>
      </c>
      <c r="I727" s="178">
        <v>15</v>
      </c>
      <c r="J727" s="127">
        <v>22500000</v>
      </c>
      <c r="K727" s="128" t="s">
        <v>398</v>
      </c>
      <c r="L727" s="176" t="s">
        <v>158</v>
      </c>
      <c r="M727" s="174" t="s">
        <v>421</v>
      </c>
      <c r="N727" s="125" t="s">
        <v>198</v>
      </c>
      <c r="O727" s="174" t="s">
        <v>887</v>
      </c>
      <c r="P727" s="174" t="s">
        <v>348</v>
      </c>
      <c r="Q727" s="129">
        <v>80111600</v>
      </c>
      <c r="R727" s="174" t="s">
        <v>211</v>
      </c>
      <c r="S727" s="174" t="str">
        <f>MID(PAA[[#This Row],[Meta Proyecto de Inversión]],1,4)</f>
        <v>8173</v>
      </c>
      <c r="T727" s="174" t="str">
        <f>MID(PAA[[#This Row],[Meta Proyecto de Inversión]],6,2)</f>
        <v>2-</v>
      </c>
      <c r="U727" s="179" t="str">
        <f>IFERROR(VLOOKUP(N727,TD!$B$54:$F$58,2,0)," ")</f>
        <v>O230117</v>
      </c>
      <c r="V727" s="179" t="str">
        <f>IFERROR(VLOOKUP(N727,TD!$B$54:$F$58,3,0)," ")</f>
        <v>4503</v>
      </c>
      <c r="W727" s="179">
        <f>IFERROR(VLOOKUP(N727,TD!$B$54:$F$58,4,0)," ")</f>
        <v>20240255</v>
      </c>
      <c r="X727" s="174" t="s">
        <v>164</v>
      </c>
      <c r="Y727" s="172" t="str">
        <f>IFERROR(VLOOKUP(X727,TD!$J$55:$K$68,2,0)," ")</f>
        <v>Servicio de atención a incidentes y emergencias.</v>
      </c>
      <c r="Z727" s="180" t="str">
        <f>CONCATENATE(X727,"-",Y727)</f>
        <v>04-Servicio de atención a incidentes y emergencias.</v>
      </c>
      <c r="AA727" s="174" t="s">
        <v>221</v>
      </c>
      <c r="AB727" s="172" t="str">
        <f>IFERROR(VLOOKUP(AA727,TD!$N$55:$O$70,2,0)," ")</f>
        <v>Servicio de atención a emergencias y desastres</v>
      </c>
      <c r="AC727" s="180" t="str">
        <f>CONCATENATE(AA727,"_",AB727)</f>
        <v>004_Servicio de atención a emergencias y desastres</v>
      </c>
      <c r="AD727" s="180" t="str">
        <f>CONCATENATE(Z727," ",AC727)</f>
        <v>04-Servicio de atención a incidentes y emergencias. 004_Servicio de atención a emergencias y desastres</v>
      </c>
      <c r="AE727" s="179" t="str">
        <f>CONCATENATE(U727,V727,W727,X727,AA727)</f>
        <v>O23011745032024025504004</v>
      </c>
      <c r="AF727" s="172" t="str">
        <f>IFERROR(VLOOKUP(AD727,TD!$J$70:$K$93,2,0)," ")</f>
        <v>PM/0131/0104/45030040255</v>
      </c>
      <c r="AG727" s="130" t="s">
        <v>385</v>
      </c>
      <c r="AH727" s="181" t="s">
        <v>194</v>
      </c>
      <c r="AI727" s="184" t="str">
        <f>CONCATENATE(PAA[[#This Row],[Id Interno]],"-",PAA[[#This Row],[tipo de Contrato (TH talento humano - B/S bienes y/o servicios)]],"-",S727,"-",T727,"-",PAA[[#This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728" spans="2:35" ht="98" x14ac:dyDescent="0.35">
      <c r="B728" s="146">
        <v>20260738</v>
      </c>
      <c r="C728" s="117" t="s">
        <v>1018</v>
      </c>
      <c r="D728" s="125" t="s">
        <v>105</v>
      </c>
      <c r="E728" s="125" t="s">
        <v>363</v>
      </c>
      <c r="F728" s="125" t="s">
        <v>145</v>
      </c>
      <c r="G728" s="192" t="s">
        <v>381</v>
      </c>
      <c r="H728" s="178">
        <v>3</v>
      </c>
      <c r="I728" s="178">
        <v>0</v>
      </c>
      <c r="J728" s="127">
        <v>8970000</v>
      </c>
      <c r="K728" s="128" t="s">
        <v>398</v>
      </c>
      <c r="L728" s="176" t="s">
        <v>158</v>
      </c>
      <c r="M728" s="174" t="s">
        <v>421</v>
      </c>
      <c r="N728" s="125" t="s">
        <v>198</v>
      </c>
      <c r="O728" s="174" t="s">
        <v>887</v>
      </c>
      <c r="P728" s="174" t="s">
        <v>348</v>
      </c>
      <c r="Q728" s="129">
        <v>80111600</v>
      </c>
      <c r="R728" s="174" t="s">
        <v>211</v>
      </c>
      <c r="S728" s="174" t="str">
        <f>MID(PAA[[#This Row],[Meta Proyecto de Inversión]],1,4)</f>
        <v>8173</v>
      </c>
      <c r="T728" s="174" t="str">
        <f>MID(PAA[[#This Row],[Meta Proyecto de Inversión]],6,2)</f>
        <v>2-</v>
      </c>
      <c r="U728" s="179" t="str">
        <f>IFERROR(VLOOKUP(N728,TD!$B$54:$F$58,2,0)," ")</f>
        <v>O230117</v>
      </c>
      <c r="V728" s="179" t="str">
        <f>IFERROR(VLOOKUP(N728,TD!$B$54:$F$58,3,0)," ")</f>
        <v>4503</v>
      </c>
      <c r="W728" s="179">
        <f>IFERROR(VLOOKUP(N728,TD!$B$54:$F$58,4,0)," ")</f>
        <v>20240255</v>
      </c>
      <c r="X728" s="174" t="s">
        <v>164</v>
      </c>
      <c r="Y728" s="172" t="str">
        <f>IFERROR(VLOOKUP(X728,TD!$J$55:$K$68,2,0)," ")</f>
        <v>Servicio de atención a incidentes y emergencias.</v>
      </c>
      <c r="Z728" s="180" t="str">
        <f>CONCATENATE(X728,"-",Y728)</f>
        <v>04-Servicio de atención a incidentes y emergencias.</v>
      </c>
      <c r="AA728" s="174" t="s">
        <v>221</v>
      </c>
      <c r="AB728" s="172" t="str">
        <f>IFERROR(VLOOKUP(AA728,TD!$N$55:$O$70,2,0)," ")</f>
        <v>Servicio de atención a emergencias y desastres</v>
      </c>
      <c r="AC728" s="180" t="str">
        <f>CONCATENATE(AA728,"_",AB728)</f>
        <v>004_Servicio de atención a emergencias y desastres</v>
      </c>
      <c r="AD728" s="180" t="str">
        <f>CONCATENATE(Z728," ",AC728)</f>
        <v>04-Servicio de atención a incidentes y emergencias. 004_Servicio de atención a emergencias y desastres</v>
      </c>
      <c r="AE728" s="179" t="str">
        <f>CONCATENATE(U728,V728,W728,X728,AA728)</f>
        <v>O23011745032024025504004</v>
      </c>
      <c r="AF728" s="172" t="str">
        <f>IFERROR(VLOOKUP(AD728,TD!$J$70:$K$93,2,0)," ")</f>
        <v>PM/0131/0104/45030040255</v>
      </c>
      <c r="AG728" s="130" t="s">
        <v>385</v>
      </c>
      <c r="AH728" s="181" t="s">
        <v>194</v>
      </c>
      <c r="AI728" s="184" t="str">
        <f>CONCATENATE(PAA[[#This Row],[Id Interno]],"-",PAA[[#This Row],[tipo de Contrato (TH talento humano - B/S bienes y/o servicios)]],"-",S728,"-",T728,"-",PAA[[#This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29" spans="2:35" ht="70" x14ac:dyDescent="0.35">
      <c r="B729" s="146">
        <v>20260739</v>
      </c>
      <c r="C729" s="117" t="s">
        <v>1019</v>
      </c>
      <c r="D729" s="125" t="s">
        <v>105</v>
      </c>
      <c r="E729" s="125" t="s">
        <v>363</v>
      </c>
      <c r="F729" s="125" t="s">
        <v>145</v>
      </c>
      <c r="G729" s="192" t="s">
        <v>381</v>
      </c>
      <c r="H729" s="178">
        <v>3</v>
      </c>
      <c r="I729" s="178">
        <v>0</v>
      </c>
      <c r="J729" s="127">
        <v>8970000</v>
      </c>
      <c r="K729" s="128" t="s">
        <v>398</v>
      </c>
      <c r="L729" s="176" t="s">
        <v>158</v>
      </c>
      <c r="M729" s="174" t="s">
        <v>421</v>
      </c>
      <c r="N729" s="125" t="s">
        <v>198</v>
      </c>
      <c r="O729" s="174" t="s">
        <v>887</v>
      </c>
      <c r="P729" s="174" t="s">
        <v>348</v>
      </c>
      <c r="Q729" s="129">
        <v>80111600</v>
      </c>
      <c r="R729" s="174" t="s">
        <v>211</v>
      </c>
      <c r="S729" s="174" t="str">
        <f>MID(PAA[[#This Row],[Meta Proyecto de Inversión]],1,4)</f>
        <v>8173</v>
      </c>
      <c r="T729" s="174" t="str">
        <f>MID(PAA[[#This Row],[Meta Proyecto de Inversión]],6,2)</f>
        <v>2-</v>
      </c>
      <c r="U729" s="179" t="str">
        <f>IFERROR(VLOOKUP(N729,TD!$B$54:$F$58,2,0)," ")</f>
        <v>O230117</v>
      </c>
      <c r="V729" s="179" t="str">
        <f>IFERROR(VLOOKUP(N729,TD!$B$54:$F$58,3,0)," ")</f>
        <v>4503</v>
      </c>
      <c r="W729" s="179">
        <f>IFERROR(VLOOKUP(N729,TD!$B$54:$F$58,4,0)," ")</f>
        <v>20240255</v>
      </c>
      <c r="X729" s="174" t="s">
        <v>164</v>
      </c>
      <c r="Y729" s="172" t="str">
        <f>IFERROR(VLOOKUP(X729,TD!$J$55:$K$68,2,0)," ")</f>
        <v>Servicio de atención a incidentes y emergencias.</v>
      </c>
      <c r="Z729" s="180" t="str">
        <f>CONCATENATE(X729,"-",Y729)</f>
        <v>04-Servicio de atención a incidentes y emergencias.</v>
      </c>
      <c r="AA729" s="174" t="s">
        <v>221</v>
      </c>
      <c r="AB729" s="172" t="str">
        <f>IFERROR(VLOOKUP(AA729,TD!$N$55:$O$70,2,0)," ")</f>
        <v>Servicio de atención a emergencias y desastres</v>
      </c>
      <c r="AC729" s="180" t="str">
        <f>CONCATENATE(AA729,"_",AB729)</f>
        <v>004_Servicio de atención a emergencias y desastres</v>
      </c>
      <c r="AD729" s="180" t="str">
        <f>CONCATENATE(Z729," ",AC729)</f>
        <v>04-Servicio de atención a incidentes y emergencias. 004_Servicio de atención a emergencias y desastres</v>
      </c>
      <c r="AE729" s="179" t="str">
        <f>CONCATENATE(U729,V729,W729,X729,AA729)</f>
        <v>O23011745032024025504004</v>
      </c>
      <c r="AF729" s="172" t="str">
        <f>IFERROR(VLOOKUP(AD729,TD!$J$70:$K$93,2,0)," ")</f>
        <v>PM/0131/0104/45030040255</v>
      </c>
      <c r="AG729" s="130" t="s">
        <v>385</v>
      </c>
      <c r="AH729" s="181" t="s">
        <v>194</v>
      </c>
      <c r="AI729" s="184" t="str">
        <f>CONCATENATE(PAA[[#This Row],[Id Interno]],"-",PAA[[#This Row],[tipo de Contrato (TH talento humano - B/S bienes y/o servicios)]],"-",S729,"-",T729,"-",PAA[[#This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30" spans="2:35" ht="70" x14ac:dyDescent="0.35">
      <c r="B730" s="146">
        <v>20260740</v>
      </c>
      <c r="C730" s="117" t="s">
        <v>1020</v>
      </c>
      <c r="D730" s="125" t="s">
        <v>105</v>
      </c>
      <c r="E730" s="125" t="s">
        <v>363</v>
      </c>
      <c r="F730" s="125" t="s">
        <v>145</v>
      </c>
      <c r="G730" s="192" t="s">
        <v>381</v>
      </c>
      <c r="H730" s="178">
        <v>3</v>
      </c>
      <c r="I730" s="178">
        <v>0</v>
      </c>
      <c r="J730" s="127">
        <v>8970000</v>
      </c>
      <c r="K730" s="128" t="s">
        <v>398</v>
      </c>
      <c r="L730" s="176" t="s">
        <v>158</v>
      </c>
      <c r="M730" s="174" t="s">
        <v>421</v>
      </c>
      <c r="N730" s="125" t="s">
        <v>198</v>
      </c>
      <c r="O730" s="174" t="s">
        <v>887</v>
      </c>
      <c r="P730" s="174" t="s">
        <v>348</v>
      </c>
      <c r="Q730" s="129">
        <v>80111600</v>
      </c>
      <c r="R730" s="174" t="s">
        <v>211</v>
      </c>
      <c r="S730" s="174" t="str">
        <f>MID(PAA[[#This Row],[Meta Proyecto de Inversión]],1,4)</f>
        <v>8173</v>
      </c>
      <c r="T730" s="174" t="str">
        <f>MID(PAA[[#This Row],[Meta Proyecto de Inversión]],6,2)</f>
        <v>2-</v>
      </c>
      <c r="U730" s="179" t="str">
        <f>IFERROR(VLOOKUP(N730,TD!$B$54:$F$58,2,0)," ")</f>
        <v>O230117</v>
      </c>
      <c r="V730" s="179" t="str">
        <f>IFERROR(VLOOKUP(N730,TD!$B$54:$F$58,3,0)," ")</f>
        <v>4503</v>
      </c>
      <c r="W730" s="179">
        <f>IFERROR(VLOOKUP(N730,TD!$B$54:$F$58,4,0)," ")</f>
        <v>20240255</v>
      </c>
      <c r="X730" s="174" t="s">
        <v>164</v>
      </c>
      <c r="Y730" s="172" t="str">
        <f>IFERROR(VLOOKUP(X730,TD!$J$55:$K$68,2,0)," ")</f>
        <v>Servicio de atención a incidentes y emergencias.</v>
      </c>
      <c r="Z730" s="180" t="str">
        <f>CONCATENATE(X730,"-",Y730)</f>
        <v>04-Servicio de atención a incidentes y emergencias.</v>
      </c>
      <c r="AA730" s="174" t="s">
        <v>221</v>
      </c>
      <c r="AB730" s="172" t="str">
        <f>IFERROR(VLOOKUP(AA730,TD!$N$55:$O$70,2,0)," ")</f>
        <v>Servicio de atención a emergencias y desastres</v>
      </c>
      <c r="AC730" s="180" t="str">
        <f>CONCATENATE(AA730,"_",AB730)</f>
        <v>004_Servicio de atención a emergencias y desastres</v>
      </c>
      <c r="AD730" s="180" t="str">
        <f>CONCATENATE(Z730," ",AC730)</f>
        <v>04-Servicio de atención a incidentes y emergencias. 004_Servicio de atención a emergencias y desastres</v>
      </c>
      <c r="AE730" s="179" t="str">
        <f>CONCATENATE(U730,V730,W730,X730,AA730)</f>
        <v>O23011745032024025504004</v>
      </c>
      <c r="AF730" s="172" t="str">
        <f>IFERROR(VLOOKUP(AD730,TD!$J$70:$K$93,2,0)," ")</f>
        <v>PM/0131/0104/45030040255</v>
      </c>
      <c r="AG730" s="130" t="s">
        <v>385</v>
      </c>
      <c r="AH730" s="181" t="s">
        <v>194</v>
      </c>
      <c r="AI730" s="184" t="str">
        <f>CONCATENATE(PAA[[#This Row],[Id Interno]],"-",PAA[[#This Row],[tipo de Contrato (TH talento humano - B/S bienes y/o servicios)]],"-",S730,"-",T730,"-",PAA[[#This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31" spans="2:35" ht="70" x14ac:dyDescent="0.35">
      <c r="B731" s="146">
        <v>20260741</v>
      </c>
      <c r="C731" s="117" t="s">
        <v>1021</v>
      </c>
      <c r="D731" s="125" t="s">
        <v>105</v>
      </c>
      <c r="E731" s="125" t="s">
        <v>363</v>
      </c>
      <c r="F731" s="125" t="s">
        <v>145</v>
      </c>
      <c r="G731" s="192" t="s">
        <v>381</v>
      </c>
      <c r="H731" s="178">
        <v>3</v>
      </c>
      <c r="I731" s="178">
        <v>0</v>
      </c>
      <c r="J731" s="127">
        <v>11100000</v>
      </c>
      <c r="K731" s="128" t="s">
        <v>398</v>
      </c>
      <c r="L731" s="176" t="s">
        <v>158</v>
      </c>
      <c r="M731" s="174" t="s">
        <v>421</v>
      </c>
      <c r="N731" s="125" t="s">
        <v>198</v>
      </c>
      <c r="O731" s="174" t="s">
        <v>887</v>
      </c>
      <c r="P731" s="174" t="s">
        <v>348</v>
      </c>
      <c r="Q731" s="129">
        <v>80111600</v>
      </c>
      <c r="R731" s="174" t="s">
        <v>211</v>
      </c>
      <c r="S731" s="174" t="str">
        <f>MID(PAA[[#This Row],[Meta Proyecto de Inversión]],1,4)</f>
        <v>8173</v>
      </c>
      <c r="T731" s="174" t="str">
        <f>MID(PAA[[#This Row],[Meta Proyecto de Inversión]],6,2)</f>
        <v>2-</v>
      </c>
      <c r="U731" s="179" t="str">
        <f>IFERROR(VLOOKUP(N731,TD!$B$54:$F$58,2,0)," ")</f>
        <v>O230117</v>
      </c>
      <c r="V731" s="179" t="str">
        <f>IFERROR(VLOOKUP(N731,TD!$B$54:$F$58,3,0)," ")</f>
        <v>4503</v>
      </c>
      <c r="W731" s="179">
        <f>IFERROR(VLOOKUP(N731,TD!$B$54:$F$58,4,0)," ")</f>
        <v>20240255</v>
      </c>
      <c r="X731" s="174" t="s">
        <v>164</v>
      </c>
      <c r="Y731" s="172" t="str">
        <f>IFERROR(VLOOKUP(X731,TD!$J$55:$K$68,2,0)," ")</f>
        <v>Servicio de atención a incidentes y emergencias.</v>
      </c>
      <c r="Z731" s="180" t="str">
        <f>CONCATENATE(X731,"-",Y731)</f>
        <v>04-Servicio de atención a incidentes y emergencias.</v>
      </c>
      <c r="AA731" s="174" t="s">
        <v>221</v>
      </c>
      <c r="AB731" s="172" t="str">
        <f>IFERROR(VLOOKUP(AA731,TD!$N$55:$O$70,2,0)," ")</f>
        <v>Servicio de atención a emergencias y desastres</v>
      </c>
      <c r="AC731" s="180" t="str">
        <f>CONCATENATE(AA731,"_",AB731)</f>
        <v>004_Servicio de atención a emergencias y desastres</v>
      </c>
      <c r="AD731" s="180" t="str">
        <f>CONCATENATE(Z731," ",AC731)</f>
        <v>04-Servicio de atención a incidentes y emergencias. 004_Servicio de atención a emergencias y desastres</v>
      </c>
      <c r="AE731" s="179" t="str">
        <f>CONCATENATE(U731,V731,W731,X731,AA731)</f>
        <v>O23011745032024025504004</v>
      </c>
      <c r="AF731" s="172" t="str">
        <f>IFERROR(VLOOKUP(AD731,TD!$J$70:$K$93,2,0)," ")</f>
        <v>PM/0131/0104/45030040255</v>
      </c>
      <c r="AG731" s="130" t="s">
        <v>385</v>
      </c>
      <c r="AH731" s="181" t="s">
        <v>194</v>
      </c>
      <c r="AI731" s="184" t="str">
        <f>CONCATENATE(PAA[[#This Row],[Id Interno]],"-",PAA[[#This Row],[tipo de Contrato (TH talento humano - B/S bienes y/o servicios)]],"-",S731,"-",T731,"-",PAA[[#This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32" spans="2:35" ht="84" x14ac:dyDescent="0.35">
      <c r="B732" s="146">
        <v>20260742</v>
      </c>
      <c r="C732" s="117" t="s">
        <v>1022</v>
      </c>
      <c r="D732" s="125" t="s">
        <v>105</v>
      </c>
      <c r="E732" s="125" t="s">
        <v>363</v>
      </c>
      <c r="F732" s="125" t="s">
        <v>145</v>
      </c>
      <c r="G732" s="192" t="s">
        <v>381</v>
      </c>
      <c r="H732" s="178">
        <v>3</v>
      </c>
      <c r="I732" s="178">
        <v>0</v>
      </c>
      <c r="J732" s="127">
        <v>8970000</v>
      </c>
      <c r="K732" s="128" t="s">
        <v>398</v>
      </c>
      <c r="L732" s="176" t="s">
        <v>158</v>
      </c>
      <c r="M732" s="174" t="s">
        <v>421</v>
      </c>
      <c r="N732" s="125" t="s">
        <v>198</v>
      </c>
      <c r="O732" s="174" t="s">
        <v>887</v>
      </c>
      <c r="P732" s="174" t="s">
        <v>348</v>
      </c>
      <c r="Q732" s="129">
        <v>80111600</v>
      </c>
      <c r="R732" s="174" t="s">
        <v>211</v>
      </c>
      <c r="S732" s="174" t="str">
        <f>MID(PAA[[#This Row],[Meta Proyecto de Inversión]],1,4)</f>
        <v>8173</v>
      </c>
      <c r="T732" s="174" t="str">
        <f>MID(PAA[[#This Row],[Meta Proyecto de Inversión]],6,2)</f>
        <v>2-</v>
      </c>
      <c r="U732" s="179" t="str">
        <f>IFERROR(VLOOKUP(N732,TD!$B$54:$F$58,2,0)," ")</f>
        <v>O230117</v>
      </c>
      <c r="V732" s="179" t="str">
        <f>IFERROR(VLOOKUP(N732,TD!$B$54:$F$58,3,0)," ")</f>
        <v>4503</v>
      </c>
      <c r="W732" s="179">
        <f>IFERROR(VLOOKUP(N732,TD!$B$54:$F$58,4,0)," ")</f>
        <v>20240255</v>
      </c>
      <c r="X732" s="174" t="s">
        <v>164</v>
      </c>
      <c r="Y732" s="172" t="str">
        <f>IFERROR(VLOOKUP(X732,TD!$J$55:$K$68,2,0)," ")</f>
        <v>Servicio de atención a incidentes y emergencias.</v>
      </c>
      <c r="Z732" s="180" t="str">
        <f>CONCATENATE(X732,"-",Y732)</f>
        <v>04-Servicio de atención a incidentes y emergencias.</v>
      </c>
      <c r="AA732" s="174" t="s">
        <v>221</v>
      </c>
      <c r="AB732" s="172" t="str">
        <f>IFERROR(VLOOKUP(AA732,TD!$N$55:$O$70,2,0)," ")</f>
        <v>Servicio de atención a emergencias y desastres</v>
      </c>
      <c r="AC732" s="180" t="str">
        <f>CONCATENATE(AA732,"_",AB732)</f>
        <v>004_Servicio de atención a emergencias y desastres</v>
      </c>
      <c r="AD732" s="180" t="str">
        <f>CONCATENATE(Z732," ",AC732)</f>
        <v>04-Servicio de atención a incidentes y emergencias. 004_Servicio de atención a emergencias y desastres</v>
      </c>
      <c r="AE732" s="179" t="str">
        <f>CONCATENATE(U732,V732,W732,X732,AA732)</f>
        <v>O23011745032024025504004</v>
      </c>
      <c r="AF732" s="172" t="str">
        <f>IFERROR(VLOOKUP(AD732,TD!$J$70:$K$93,2,0)," ")</f>
        <v>PM/0131/0104/45030040255</v>
      </c>
      <c r="AG732" s="130" t="s">
        <v>385</v>
      </c>
      <c r="AH732" s="181" t="s">
        <v>194</v>
      </c>
      <c r="AI732" s="184" t="str">
        <f>CONCATENATE(PAA[[#This Row],[Id Interno]],"-",PAA[[#This Row],[tipo de Contrato (TH talento humano - B/S bienes y/o servicios)]],"-",S732,"-",T732,"-",PAA[[#This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33" spans="2:35" ht="70" x14ac:dyDescent="0.35">
      <c r="B733" s="146">
        <v>20260743</v>
      </c>
      <c r="C733" s="117" t="s">
        <v>1023</v>
      </c>
      <c r="D733" s="125" t="s">
        <v>105</v>
      </c>
      <c r="E733" s="125" t="s">
        <v>363</v>
      </c>
      <c r="F733" s="125" t="s">
        <v>145</v>
      </c>
      <c r="G733" s="192" t="s">
        <v>381</v>
      </c>
      <c r="H733" s="178">
        <v>3</v>
      </c>
      <c r="I733" s="178">
        <v>0</v>
      </c>
      <c r="J733" s="127">
        <v>8970000</v>
      </c>
      <c r="K733" s="128" t="s">
        <v>398</v>
      </c>
      <c r="L733" s="176" t="s">
        <v>158</v>
      </c>
      <c r="M733" s="174" t="s">
        <v>421</v>
      </c>
      <c r="N733" s="125" t="s">
        <v>198</v>
      </c>
      <c r="O733" s="174" t="s">
        <v>887</v>
      </c>
      <c r="P733" s="174" t="s">
        <v>348</v>
      </c>
      <c r="Q733" s="129">
        <v>80111600</v>
      </c>
      <c r="R733" s="174" t="s">
        <v>211</v>
      </c>
      <c r="S733" s="174" t="str">
        <f>MID(PAA[[#This Row],[Meta Proyecto de Inversión]],1,4)</f>
        <v>8173</v>
      </c>
      <c r="T733" s="174" t="str">
        <f>MID(PAA[[#This Row],[Meta Proyecto de Inversión]],6,2)</f>
        <v>2-</v>
      </c>
      <c r="U733" s="179" t="str">
        <f>IFERROR(VLOOKUP(N733,TD!$B$54:$F$58,2,0)," ")</f>
        <v>O230117</v>
      </c>
      <c r="V733" s="179" t="str">
        <f>IFERROR(VLOOKUP(N733,TD!$B$54:$F$58,3,0)," ")</f>
        <v>4503</v>
      </c>
      <c r="W733" s="179">
        <f>IFERROR(VLOOKUP(N733,TD!$B$54:$F$58,4,0)," ")</f>
        <v>20240255</v>
      </c>
      <c r="X733" s="174" t="s">
        <v>164</v>
      </c>
      <c r="Y733" s="172" t="str">
        <f>IFERROR(VLOOKUP(X733,TD!$J$55:$K$68,2,0)," ")</f>
        <v>Servicio de atención a incidentes y emergencias.</v>
      </c>
      <c r="Z733" s="180" t="str">
        <f>CONCATENATE(X733,"-",Y733)</f>
        <v>04-Servicio de atención a incidentes y emergencias.</v>
      </c>
      <c r="AA733" s="174" t="s">
        <v>221</v>
      </c>
      <c r="AB733" s="172" t="str">
        <f>IFERROR(VLOOKUP(AA733,TD!$N$55:$O$70,2,0)," ")</f>
        <v>Servicio de atención a emergencias y desastres</v>
      </c>
      <c r="AC733" s="180" t="str">
        <f>CONCATENATE(AA733,"_",AB733)</f>
        <v>004_Servicio de atención a emergencias y desastres</v>
      </c>
      <c r="AD733" s="180" t="str">
        <f>CONCATENATE(Z733," ",AC733)</f>
        <v>04-Servicio de atención a incidentes y emergencias. 004_Servicio de atención a emergencias y desastres</v>
      </c>
      <c r="AE733" s="179" t="str">
        <f>CONCATENATE(U733,V733,W733,X733,AA733)</f>
        <v>O23011745032024025504004</v>
      </c>
      <c r="AF733" s="172" t="str">
        <f>IFERROR(VLOOKUP(AD733,TD!$J$70:$K$93,2,0)," ")</f>
        <v>PM/0131/0104/45030040255</v>
      </c>
      <c r="AG733" s="130" t="s">
        <v>385</v>
      </c>
      <c r="AH733" s="181" t="s">
        <v>194</v>
      </c>
      <c r="AI733" s="184" t="str">
        <f>CONCATENATE(PAA[[#This Row],[Id Interno]],"-",PAA[[#This Row],[tipo de Contrato (TH talento humano - B/S bienes y/o servicios)]],"-",S733,"-",T733,"-",PAA[[#This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34" spans="2:35" ht="70" x14ac:dyDescent="0.35">
      <c r="B734" s="146">
        <v>20260744</v>
      </c>
      <c r="C734" s="117" t="s">
        <v>1024</v>
      </c>
      <c r="D734" s="125" t="s">
        <v>105</v>
      </c>
      <c r="E734" s="125" t="s">
        <v>363</v>
      </c>
      <c r="F734" s="125" t="s">
        <v>145</v>
      </c>
      <c r="G734" s="192" t="s">
        <v>381</v>
      </c>
      <c r="H734" s="178">
        <v>3</v>
      </c>
      <c r="I734" s="178">
        <v>0</v>
      </c>
      <c r="J734" s="127">
        <v>8970000</v>
      </c>
      <c r="K734" s="128" t="s">
        <v>398</v>
      </c>
      <c r="L734" s="176" t="s">
        <v>158</v>
      </c>
      <c r="M734" s="174" t="s">
        <v>421</v>
      </c>
      <c r="N734" s="125" t="s">
        <v>198</v>
      </c>
      <c r="O734" s="174" t="s">
        <v>887</v>
      </c>
      <c r="P734" s="174" t="s">
        <v>348</v>
      </c>
      <c r="Q734" s="129">
        <v>80111600</v>
      </c>
      <c r="R734" s="174" t="s">
        <v>211</v>
      </c>
      <c r="S734" s="174" t="str">
        <f>MID(PAA[[#This Row],[Meta Proyecto de Inversión]],1,4)</f>
        <v>8173</v>
      </c>
      <c r="T734" s="174" t="str">
        <f>MID(PAA[[#This Row],[Meta Proyecto de Inversión]],6,2)</f>
        <v>2-</v>
      </c>
      <c r="U734" s="179" t="str">
        <f>IFERROR(VLOOKUP(N734,TD!$B$54:$F$58,2,0)," ")</f>
        <v>O230117</v>
      </c>
      <c r="V734" s="179" t="str">
        <f>IFERROR(VLOOKUP(N734,TD!$B$54:$F$58,3,0)," ")</f>
        <v>4503</v>
      </c>
      <c r="W734" s="179">
        <f>IFERROR(VLOOKUP(N734,TD!$B$54:$F$58,4,0)," ")</f>
        <v>20240255</v>
      </c>
      <c r="X734" s="174" t="s">
        <v>164</v>
      </c>
      <c r="Y734" s="172" t="str">
        <f>IFERROR(VLOOKUP(X734,TD!$J$55:$K$68,2,0)," ")</f>
        <v>Servicio de atención a incidentes y emergencias.</v>
      </c>
      <c r="Z734" s="180" t="str">
        <f>CONCATENATE(X734,"-",Y734)</f>
        <v>04-Servicio de atención a incidentes y emergencias.</v>
      </c>
      <c r="AA734" s="174" t="s">
        <v>221</v>
      </c>
      <c r="AB734" s="172" t="str">
        <f>IFERROR(VLOOKUP(AA734,TD!$N$55:$O$70,2,0)," ")</f>
        <v>Servicio de atención a emergencias y desastres</v>
      </c>
      <c r="AC734" s="180" t="str">
        <f>CONCATENATE(AA734,"_",AB734)</f>
        <v>004_Servicio de atención a emergencias y desastres</v>
      </c>
      <c r="AD734" s="180" t="str">
        <f>CONCATENATE(Z734," ",AC734)</f>
        <v>04-Servicio de atención a incidentes y emergencias. 004_Servicio de atención a emergencias y desastres</v>
      </c>
      <c r="AE734" s="179" t="str">
        <f>CONCATENATE(U734,V734,W734,X734,AA734)</f>
        <v>O23011745032024025504004</v>
      </c>
      <c r="AF734" s="172" t="str">
        <f>IFERROR(VLOOKUP(AD734,TD!$J$70:$K$93,2,0)," ")</f>
        <v>PM/0131/0104/45030040255</v>
      </c>
      <c r="AG734" s="130" t="s">
        <v>385</v>
      </c>
      <c r="AH734" s="181" t="s">
        <v>194</v>
      </c>
      <c r="AI734" s="184" t="str">
        <f>CONCATENATE(PAA[[#This Row],[Id Interno]],"-",PAA[[#This Row],[tipo de Contrato (TH talento humano - B/S bienes y/o servicios)]],"-",S734,"-",T734,"-",PAA[[#This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35" spans="2:35" ht="70" x14ac:dyDescent="0.35">
      <c r="B735" s="146">
        <v>20260745</v>
      </c>
      <c r="C735" s="117" t="s">
        <v>1025</v>
      </c>
      <c r="D735" s="125" t="s">
        <v>105</v>
      </c>
      <c r="E735" s="125" t="s">
        <v>363</v>
      </c>
      <c r="F735" s="125" t="s">
        <v>145</v>
      </c>
      <c r="G735" s="192" t="s">
        <v>381</v>
      </c>
      <c r="H735" s="178">
        <v>3</v>
      </c>
      <c r="I735" s="178">
        <v>0</v>
      </c>
      <c r="J735" s="127">
        <v>8970000</v>
      </c>
      <c r="K735" s="128" t="s">
        <v>398</v>
      </c>
      <c r="L735" s="176" t="s">
        <v>158</v>
      </c>
      <c r="M735" s="174" t="s">
        <v>421</v>
      </c>
      <c r="N735" s="125" t="s">
        <v>198</v>
      </c>
      <c r="O735" s="174" t="s">
        <v>887</v>
      </c>
      <c r="P735" s="174" t="s">
        <v>348</v>
      </c>
      <c r="Q735" s="129">
        <v>80111600</v>
      </c>
      <c r="R735" s="174" t="s">
        <v>211</v>
      </c>
      <c r="S735" s="174" t="str">
        <f>MID(PAA[[#This Row],[Meta Proyecto de Inversión]],1,4)</f>
        <v>8173</v>
      </c>
      <c r="T735" s="174" t="str">
        <f>MID(PAA[[#This Row],[Meta Proyecto de Inversión]],6,2)</f>
        <v>2-</v>
      </c>
      <c r="U735" s="179" t="str">
        <f>IFERROR(VLOOKUP(N735,TD!$B$54:$F$58,2,0)," ")</f>
        <v>O230117</v>
      </c>
      <c r="V735" s="179" t="str">
        <f>IFERROR(VLOOKUP(N735,TD!$B$54:$F$58,3,0)," ")</f>
        <v>4503</v>
      </c>
      <c r="W735" s="179">
        <f>IFERROR(VLOOKUP(N735,TD!$B$54:$F$58,4,0)," ")</f>
        <v>20240255</v>
      </c>
      <c r="X735" s="174" t="s">
        <v>164</v>
      </c>
      <c r="Y735" s="172" t="str">
        <f>IFERROR(VLOOKUP(X735,TD!$J$55:$K$68,2,0)," ")</f>
        <v>Servicio de atención a incidentes y emergencias.</v>
      </c>
      <c r="Z735" s="180" t="str">
        <f>CONCATENATE(X735,"-",Y735)</f>
        <v>04-Servicio de atención a incidentes y emergencias.</v>
      </c>
      <c r="AA735" s="174" t="s">
        <v>221</v>
      </c>
      <c r="AB735" s="172" t="str">
        <f>IFERROR(VLOOKUP(AA735,TD!$N$55:$O$70,2,0)," ")</f>
        <v>Servicio de atención a emergencias y desastres</v>
      </c>
      <c r="AC735" s="180" t="str">
        <f>CONCATENATE(AA735,"_",AB735)</f>
        <v>004_Servicio de atención a emergencias y desastres</v>
      </c>
      <c r="AD735" s="180" t="str">
        <f>CONCATENATE(Z735," ",AC735)</f>
        <v>04-Servicio de atención a incidentes y emergencias. 004_Servicio de atención a emergencias y desastres</v>
      </c>
      <c r="AE735" s="179" t="str">
        <f>CONCATENATE(U735,V735,W735,X735,AA735)</f>
        <v>O23011745032024025504004</v>
      </c>
      <c r="AF735" s="172" t="str">
        <f>IFERROR(VLOOKUP(AD735,TD!$J$70:$K$93,2,0)," ")</f>
        <v>PM/0131/0104/45030040255</v>
      </c>
      <c r="AG735" s="130" t="s">
        <v>385</v>
      </c>
      <c r="AH735" s="181" t="s">
        <v>194</v>
      </c>
      <c r="AI735" s="184" t="str">
        <f>CONCATENATE(PAA[[#This Row],[Id Interno]],"-",PAA[[#This Row],[tipo de Contrato (TH talento humano - B/S bienes y/o servicios)]],"-",S735,"-",T735,"-",PAA[[#This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36" spans="2:35" ht="70" x14ac:dyDescent="0.35">
      <c r="B736" s="146">
        <v>20260746</v>
      </c>
      <c r="C736" s="117" t="s">
        <v>1026</v>
      </c>
      <c r="D736" s="125" t="s">
        <v>105</v>
      </c>
      <c r="E736" s="125" t="s">
        <v>363</v>
      </c>
      <c r="F736" s="125" t="s">
        <v>145</v>
      </c>
      <c r="G736" s="192" t="s">
        <v>381</v>
      </c>
      <c r="H736" s="178">
        <v>3</v>
      </c>
      <c r="I736" s="178">
        <v>0</v>
      </c>
      <c r="J736" s="127">
        <v>11059473</v>
      </c>
      <c r="K736" s="128" t="s">
        <v>398</v>
      </c>
      <c r="L736" s="176" t="s">
        <v>158</v>
      </c>
      <c r="M736" s="174" t="s">
        <v>421</v>
      </c>
      <c r="N736" s="125" t="s">
        <v>198</v>
      </c>
      <c r="O736" s="174" t="s">
        <v>887</v>
      </c>
      <c r="P736" s="174" t="s">
        <v>348</v>
      </c>
      <c r="Q736" s="129">
        <v>80111600</v>
      </c>
      <c r="R736" s="174" t="s">
        <v>211</v>
      </c>
      <c r="S736" s="174" t="str">
        <f>MID(PAA[[#This Row],[Meta Proyecto de Inversión]],1,4)</f>
        <v>8173</v>
      </c>
      <c r="T736" s="174" t="str">
        <f>MID(PAA[[#This Row],[Meta Proyecto de Inversión]],6,2)</f>
        <v>2-</v>
      </c>
      <c r="U736" s="179" t="str">
        <f>IFERROR(VLOOKUP(N736,TD!$B$54:$F$58,2,0)," ")</f>
        <v>O230117</v>
      </c>
      <c r="V736" s="179" t="str">
        <f>IFERROR(VLOOKUP(N736,TD!$B$54:$F$58,3,0)," ")</f>
        <v>4503</v>
      </c>
      <c r="W736" s="179">
        <f>IFERROR(VLOOKUP(N736,TD!$B$54:$F$58,4,0)," ")</f>
        <v>20240255</v>
      </c>
      <c r="X736" s="174" t="s">
        <v>164</v>
      </c>
      <c r="Y736" s="172" t="str">
        <f>IFERROR(VLOOKUP(X736,TD!$J$55:$K$68,2,0)," ")</f>
        <v>Servicio de atención a incidentes y emergencias.</v>
      </c>
      <c r="Z736" s="180" t="str">
        <f>CONCATENATE(X736,"-",Y736)</f>
        <v>04-Servicio de atención a incidentes y emergencias.</v>
      </c>
      <c r="AA736" s="174" t="s">
        <v>221</v>
      </c>
      <c r="AB736" s="172" t="str">
        <f>IFERROR(VLOOKUP(AA736,TD!$N$55:$O$70,2,0)," ")</f>
        <v>Servicio de atención a emergencias y desastres</v>
      </c>
      <c r="AC736" s="180" t="str">
        <f>CONCATENATE(AA736,"_",AB736)</f>
        <v>004_Servicio de atención a emergencias y desastres</v>
      </c>
      <c r="AD736" s="180" t="str">
        <f>CONCATENATE(Z736," ",AC736)</f>
        <v>04-Servicio de atención a incidentes y emergencias. 004_Servicio de atención a emergencias y desastres</v>
      </c>
      <c r="AE736" s="179" t="str">
        <f>CONCATENATE(U736,V736,W736,X736,AA736)</f>
        <v>O23011745032024025504004</v>
      </c>
      <c r="AF736" s="172" t="str">
        <f>IFERROR(VLOOKUP(AD736,TD!$J$70:$K$93,2,0)," ")</f>
        <v>PM/0131/0104/45030040255</v>
      </c>
      <c r="AG736" s="130" t="s">
        <v>385</v>
      </c>
      <c r="AH736" s="181" t="s">
        <v>194</v>
      </c>
      <c r="AI736" s="184" t="str">
        <f>CONCATENATE(PAA[[#This Row],[Id Interno]],"-",PAA[[#This Row],[tipo de Contrato (TH talento humano - B/S bienes y/o servicios)]],"-",S736,"-",T736,"-",PAA[[#This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37" spans="2:35" ht="84" x14ac:dyDescent="0.35">
      <c r="B737" s="146">
        <v>20260747</v>
      </c>
      <c r="C737" s="117" t="s">
        <v>1027</v>
      </c>
      <c r="D737" s="125" t="s">
        <v>105</v>
      </c>
      <c r="E737" s="125" t="s">
        <v>363</v>
      </c>
      <c r="F737" s="125" t="s">
        <v>145</v>
      </c>
      <c r="G737" s="192" t="s">
        <v>381</v>
      </c>
      <c r="H737" s="178">
        <v>3</v>
      </c>
      <c r="I737" s="178">
        <v>0</v>
      </c>
      <c r="J737" s="127">
        <v>9852984</v>
      </c>
      <c r="K737" s="128" t="s">
        <v>398</v>
      </c>
      <c r="L737" s="176" t="s">
        <v>158</v>
      </c>
      <c r="M737" s="174" t="s">
        <v>421</v>
      </c>
      <c r="N737" s="125" t="s">
        <v>198</v>
      </c>
      <c r="O737" s="174" t="s">
        <v>887</v>
      </c>
      <c r="P737" s="174" t="s">
        <v>348</v>
      </c>
      <c r="Q737" s="129">
        <v>80111600</v>
      </c>
      <c r="R737" s="174" t="s">
        <v>211</v>
      </c>
      <c r="S737" s="174" t="str">
        <f>MID(PAA[[#This Row],[Meta Proyecto de Inversión]],1,4)</f>
        <v>8173</v>
      </c>
      <c r="T737" s="174" t="str">
        <f>MID(PAA[[#This Row],[Meta Proyecto de Inversión]],6,2)</f>
        <v>2-</v>
      </c>
      <c r="U737" s="179" t="str">
        <f>IFERROR(VLOOKUP(N737,TD!$B$54:$F$58,2,0)," ")</f>
        <v>O230117</v>
      </c>
      <c r="V737" s="179" t="str">
        <f>IFERROR(VLOOKUP(N737,TD!$B$54:$F$58,3,0)," ")</f>
        <v>4503</v>
      </c>
      <c r="W737" s="179">
        <f>IFERROR(VLOOKUP(N737,TD!$B$54:$F$58,4,0)," ")</f>
        <v>20240255</v>
      </c>
      <c r="X737" s="174" t="s">
        <v>164</v>
      </c>
      <c r="Y737" s="172" t="str">
        <f>IFERROR(VLOOKUP(X737,TD!$J$55:$K$68,2,0)," ")</f>
        <v>Servicio de atención a incidentes y emergencias.</v>
      </c>
      <c r="Z737" s="180" t="str">
        <f>CONCATENATE(X737,"-",Y737)</f>
        <v>04-Servicio de atención a incidentes y emergencias.</v>
      </c>
      <c r="AA737" s="174" t="s">
        <v>221</v>
      </c>
      <c r="AB737" s="172" t="str">
        <f>IFERROR(VLOOKUP(AA737,TD!$N$55:$O$70,2,0)," ")</f>
        <v>Servicio de atención a emergencias y desastres</v>
      </c>
      <c r="AC737" s="180" t="str">
        <f>CONCATENATE(AA737,"_",AB737)</f>
        <v>004_Servicio de atención a emergencias y desastres</v>
      </c>
      <c r="AD737" s="180" t="str">
        <f>CONCATENATE(Z737," ",AC737)</f>
        <v>04-Servicio de atención a incidentes y emergencias. 004_Servicio de atención a emergencias y desastres</v>
      </c>
      <c r="AE737" s="179" t="str">
        <f>CONCATENATE(U737,V737,W737,X737,AA737)</f>
        <v>O23011745032024025504004</v>
      </c>
      <c r="AF737" s="172" t="str">
        <f>IFERROR(VLOOKUP(AD737,TD!$J$70:$K$93,2,0)," ")</f>
        <v>PM/0131/0104/45030040255</v>
      </c>
      <c r="AG737" s="130" t="s">
        <v>385</v>
      </c>
      <c r="AH737" s="181" t="s">
        <v>194</v>
      </c>
      <c r="AI737" s="184" t="str">
        <f>CONCATENATE(PAA[[#This Row],[Id Interno]],"-",PAA[[#This Row],[tipo de Contrato (TH talento humano - B/S bienes y/o servicios)]],"-",S737,"-",T737,"-",PAA[[#This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38" spans="2:35" ht="70" x14ac:dyDescent="0.35">
      <c r="B738" s="146">
        <v>20260748</v>
      </c>
      <c r="C738" s="117" t="s">
        <v>1028</v>
      </c>
      <c r="D738" s="125" t="s">
        <v>105</v>
      </c>
      <c r="E738" s="125" t="s">
        <v>363</v>
      </c>
      <c r="F738" s="125" t="s">
        <v>145</v>
      </c>
      <c r="G738" s="192" t="s">
        <v>381</v>
      </c>
      <c r="H738" s="178">
        <v>3</v>
      </c>
      <c r="I738" s="178">
        <v>0</v>
      </c>
      <c r="J738" s="127">
        <v>8970000</v>
      </c>
      <c r="K738" s="128" t="s">
        <v>398</v>
      </c>
      <c r="L738" s="176" t="s">
        <v>158</v>
      </c>
      <c r="M738" s="174" t="s">
        <v>421</v>
      </c>
      <c r="N738" s="125" t="s">
        <v>198</v>
      </c>
      <c r="O738" s="174" t="s">
        <v>887</v>
      </c>
      <c r="P738" s="174" t="s">
        <v>348</v>
      </c>
      <c r="Q738" s="129">
        <v>80111600</v>
      </c>
      <c r="R738" s="174" t="s">
        <v>211</v>
      </c>
      <c r="S738" s="174" t="str">
        <f>MID(PAA[[#This Row],[Meta Proyecto de Inversión]],1,4)</f>
        <v>8173</v>
      </c>
      <c r="T738" s="174" t="str">
        <f>MID(PAA[[#This Row],[Meta Proyecto de Inversión]],6,2)</f>
        <v>2-</v>
      </c>
      <c r="U738" s="179" t="str">
        <f>IFERROR(VLOOKUP(N738,TD!$B$54:$F$58,2,0)," ")</f>
        <v>O230117</v>
      </c>
      <c r="V738" s="179" t="str">
        <f>IFERROR(VLOOKUP(N738,TD!$B$54:$F$58,3,0)," ")</f>
        <v>4503</v>
      </c>
      <c r="W738" s="179">
        <f>IFERROR(VLOOKUP(N738,TD!$B$54:$F$58,4,0)," ")</f>
        <v>20240255</v>
      </c>
      <c r="X738" s="174" t="s">
        <v>164</v>
      </c>
      <c r="Y738" s="172" t="str">
        <f>IFERROR(VLOOKUP(X738,TD!$J$55:$K$68,2,0)," ")</f>
        <v>Servicio de atención a incidentes y emergencias.</v>
      </c>
      <c r="Z738" s="180" t="str">
        <f>CONCATENATE(X738,"-",Y738)</f>
        <v>04-Servicio de atención a incidentes y emergencias.</v>
      </c>
      <c r="AA738" s="174" t="s">
        <v>221</v>
      </c>
      <c r="AB738" s="172" t="str">
        <f>IFERROR(VLOOKUP(AA738,TD!$N$55:$O$70,2,0)," ")</f>
        <v>Servicio de atención a emergencias y desastres</v>
      </c>
      <c r="AC738" s="180" t="str">
        <f>CONCATENATE(AA738,"_",AB738)</f>
        <v>004_Servicio de atención a emergencias y desastres</v>
      </c>
      <c r="AD738" s="180" t="str">
        <f>CONCATENATE(Z738," ",AC738)</f>
        <v>04-Servicio de atención a incidentes y emergencias. 004_Servicio de atención a emergencias y desastres</v>
      </c>
      <c r="AE738" s="179" t="str">
        <f>CONCATENATE(U738,V738,W738,X738,AA738)</f>
        <v>O23011745032024025504004</v>
      </c>
      <c r="AF738" s="172" t="str">
        <f>IFERROR(VLOOKUP(AD738,TD!$J$70:$K$93,2,0)," ")</f>
        <v>PM/0131/0104/45030040255</v>
      </c>
      <c r="AG738" s="130" t="s">
        <v>385</v>
      </c>
      <c r="AH738" s="181" t="s">
        <v>194</v>
      </c>
      <c r="AI738" s="184" t="str">
        <f>CONCATENATE(PAA[[#This Row],[Id Interno]],"-",PAA[[#This Row],[tipo de Contrato (TH talento humano - B/S bienes y/o servicios)]],"-",S738,"-",T738,"-",PAA[[#This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39" spans="2:35" ht="70" x14ac:dyDescent="0.35">
      <c r="B739" s="146">
        <v>20260749</v>
      </c>
      <c r="C739" s="117" t="s">
        <v>1029</v>
      </c>
      <c r="D739" s="125" t="s">
        <v>105</v>
      </c>
      <c r="E739" s="125" t="s">
        <v>363</v>
      </c>
      <c r="F739" s="125" t="s">
        <v>145</v>
      </c>
      <c r="G739" s="192" t="s">
        <v>382</v>
      </c>
      <c r="H739" s="178">
        <v>2</v>
      </c>
      <c r="I739" s="178">
        <v>0</v>
      </c>
      <c r="J739" s="127">
        <v>5980000</v>
      </c>
      <c r="K739" s="128" t="s">
        <v>398</v>
      </c>
      <c r="L739" s="176" t="s">
        <v>158</v>
      </c>
      <c r="M739" s="174" t="s">
        <v>421</v>
      </c>
      <c r="N739" s="125" t="s">
        <v>198</v>
      </c>
      <c r="O739" s="174" t="s">
        <v>887</v>
      </c>
      <c r="P739" s="174" t="s">
        <v>348</v>
      </c>
      <c r="Q739" s="129">
        <v>80111600</v>
      </c>
      <c r="R739" s="174" t="s">
        <v>211</v>
      </c>
      <c r="S739" s="174" t="str">
        <f>MID(PAA[[#This Row],[Meta Proyecto de Inversión]],1,4)</f>
        <v>8173</v>
      </c>
      <c r="T739" s="174" t="str">
        <f>MID(PAA[[#This Row],[Meta Proyecto de Inversión]],6,2)</f>
        <v>2-</v>
      </c>
      <c r="U739" s="179" t="str">
        <f>IFERROR(VLOOKUP(N739,TD!$B$54:$F$58,2,0)," ")</f>
        <v>O230117</v>
      </c>
      <c r="V739" s="179" t="str">
        <f>IFERROR(VLOOKUP(N739,TD!$B$54:$F$58,3,0)," ")</f>
        <v>4503</v>
      </c>
      <c r="W739" s="179">
        <f>IFERROR(VLOOKUP(N739,TD!$B$54:$F$58,4,0)," ")</f>
        <v>20240255</v>
      </c>
      <c r="X739" s="174" t="s">
        <v>164</v>
      </c>
      <c r="Y739" s="172" t="str">
        <f>IFERROR(VLOOKUP(X739,TD!$J$55:$K$68,2,0)," ")</f>
        <v>Servicio de atención a incidentes y emergencias.</v>
      </c>
      <c r="Z739" s="180" t="str">
        <f>CONCATENATE(X739,"-",Y739)</f>
        <v>04-Servicio de atención a incidentes y emergencias.</v>
      </c>
      <c r="AA739" s="174" t="s">
        <v>221</v>
      </c>
      <c r="AB739" s="172" t="str">
        <f>IFERROR(VLOOKUP(AA739,TD!$N$55:$O$70,2,0)," ")</f>
        <v>Servicio de atención a emergencias y desastres</v>
      </c>
      <c r="AC739" s="180" t="str">
        <f>CONCATENATE(AA739,"_",AB739)</f>
        <v>004_Servicio de atención a emergencias y desastres</v>
      </c>
      <c r="AD739" s="180" t="str">
        <f>CONCATENATE(Z739," ",AC739)</f>
        <v>04-Servicio de atención a incidentes y emergencias. 004_Servicio de atención a emergencias y desastres</v>
      </c>
      <c r="AE739" s="179" t="str">
        <f>CONCATENATE(U739,V739,W739,X739,AA739)</f>
        <v>O23011745032024025504004</v>
      </c>
      <c r="AF739" s="172" t="str">
        <f>IFERROR(VLOOKUP(AD739,TD!$J$70:$K$93,2,0)," ")</f>
        <v>PM/0131/0104/45030040255</v>
      </c>
      <c r="AG739" s="130" t="s">
        <v>385</v>
      </c>
      <c r="AH739" s="181" t="s">
        <v>194</v>
      </c>
      <c r="AI739" s="184" t="str">
        <f>CONCATENATE(PAA[[#This Row],[Id Interno]],"-",PAA[[#This Row],[tipo de Contrato (TH talento humano - B/S bienes y/o servicios)]],"-",S739,"-",T739,"-",PAA[[#This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40" spans="2:35" ht="70" x14ac:dyDescent="0.35">
      <c r="B740" s="146">
        <v>20260750</v>
      </c>
      <c r="C740" s="117" t="s">
        <v>1030</v>
      </c>
      <c r="D740" s="125" t="s">
        <v>105</v>
      </c>
      <c r="E740" s="125" t="s">
        <v>363</v>
      </c>
      <c r="F740" s="125" t="s">
        <v>145</v>
      </c>
      <c r="G740" s="192" t="s">
        <v>382</v>
      </c>
      <c r="H740" s="178">
        <v>2</v>
      </c>
      <c r="I740" s="178">
        <v>0</v>
      </c>
      <c r="J740" s="127">
        <v>6200000</v>
      </c>
      <c r="K740" s="128" t="s">
        <v>398</v>
      </c>
      <c r="L740" s="176" t="s">
        <v>158</v>
      </c>
      <c r="M740" s="174" t="s">
        <v>421</v>
      </c>
      <c r="N740" s="125" t="s">
        <v>198</v>
      </c>
      <c r="O740" s="174" t="s">
        <v>887</v>
      </c>
      <c r="P740" s="174" t="s">
        <v>348</v>
      </c>
      <c r="Q740" s="129">
        <v>80111600</v>
      </c>
      <c r="R740" s="174" t="s">
        <v>211</v>
      </c>
      <c r="S740" s="174" t="str">
        <f>MID(PAA[[#This Row],[Meta Proyecto de Inversión]],1,4)</f>
        <v>8173</v>
      </c>
      <c r="T740" s="174" t="str">
        <f>MID(PAA[[#This Row],[Meta Proyecto de Inversión]],6,2)</f>
        <v>2-</v>
      </c>
      <c r="U740" s="179" t="str">
        <f>IFERROR(VLOOKUP(N740,TD!$B$54:$F$58,2,0)," ")</f>
        <v>O230117</v>
      </c>
      <c r="V740" s="179" t="str">
        <f>IFERROR(VLOOKUP(N740,TD!$B$54:$F$58,3,0)," ")</f>
        <v>4503</v>
      </c>
      <c r="W740" s="179">
        <f>IFERROR(VLOOKUP(N740,TD!$B$54:$F$58,4,0)," ")</f>
        <v>20240255</v>
      </c>
      <c r="X740" s="174" t="s">
        <v>164</v>
      </c>
      <c r="Y740" s="172" t="str">
        <f>IFERROR(VLOOKUP(X740,TD!$J$55:$K$68,2,0)," ")</f>
        <v>Servicio de atención a incidentes y emergencias.</v>
      </c>
      <c r="Z740" s="180" t="str">
        <f>CONCATENATE(X740,"-",Y740)</f>
        <v>04-Servicio de atención a incidentes y emergencias.</v>
      </c>
      <c r="AA740" s="174" t="s">
        <v>221</v>
      </c>
      <c r="AB740" s="172" t="str">
        <f>IFERROR(VLOOKUP(AA740,TD!$N$55:$O$70,2,0)," ")</f>
        <v>Servicio de atención a emergencias y desastres</v>
      </c>
      <c r="AC740" s="180" t="str">
        <f>CONCATENATE(AA740,"_",AB740)</f>
        <v>004_Servicio de atención a emergencias y desastres</v>
      </c>
      <c r="AD740" s="180" t="str">
        <f>CONCATENATE(Z740," ",AC740)</f>
        <v>04-Servicio de atención a incidentes y emergencias. 004_Servicio de atención a emergencias y desastres</v>
      </c>
      <c r="AE740" s="179" t="str">
        <f>CONCATENATE(U740,V740,W740,X740,AA740)</f>
        <v>O23011745032024025504004</v>
      </c>
      <c r="AF740" s="172" t="str">
        <f>IFERROR(VLOOKUP(AD740,TD!$J$70:$K$93,2,0)," ")</f>
        <v>PM/0131/0104/45030040255</v>
      </c>
      <c r="AG740" s="130" t="s">
        <v>385</v>
      </c>
      <c r="AH740" s="181" t="s">
        <v>194</v>
      </c>
      <c r="AI740" s="184" t="str">
        <f>CONCATENATE(PAA[[#This Row],[Id Interno]],"-",PAA[[#This Row],[tipo de Contrato (TH talento humano - B/S bienes y/o servicios)]],"-",S740,"-",T740,"-",PAA[[#This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41" spans="2:35" ht="84" x14ac:dyDescent="0.35">
      <c r="B741" s="146">
        <v>20260751</v>
      </c>
      <c r="C741" s="117" t="s">
        <v>1031</v>
      </c>
      <c r="D741" s="125" t="s">
        <v>105</v>
      </c>
      <c r="E741" s="125" t="s">
        <v>363</v>
      </c>
      <c r="F741" s="125" t="s">
        <v>145</v>
      </c>
      <c r="G741" s="192" t="s">
        <v>382</v>
      </c>
      <c r="H741" s="178">
        <v>2</v>
      </c>
      <c r="I741" s="178">
        <v>0</v>
      </c>
      <c r="J741" s="127">
        <v>6200000</v>
      </c>
      <c r="K741" s="128" t="s">
        <v>398</v>
      </c>
      <c r="L741" s="176" t="s">
        <v>158</v>
      </c>
      <c r="M741" s="174" t="s">
        <v>421</v>
      </c>
      <c r="N741" s="125" t="s">
        <v>198</v>
      </c>
      <c r="O741" s="174" t="s">
        <v>887</v>
      </c>
      <c r="P741" s="174" t="s">
        <v>348</v>
      </c>
      <c r="Q741" s="129">
        <v>80111600</v>
      </c>
      <c r="R741" s="174" t="s">
        <v>211</v>
      </c>
      <c r="S741" s="174" t="str">
        <f>MID(PAA[[#This Row],[Meta Proyecto de Inversión]],1,4)</f>
        <v>8173</v>
      </c>
      <c r="T741" s="174" t="str">
        <f>MID(PAA[[#This Row],[Meta Proyecto de Inversión]],6,2)</f>
        <v>2-</v>
      </c>
      <c r="U741" s="179" t="str">
        <f>IFERROR(VLOOKUP(N741,TD!$B$54:$F$58,2,0)," ")</f>
        <v>O230117</v>
      </c>
      <c r="V741" s="179" t="str">
        <f>IFERROR(VLOOKUP(N741,TD!$B$54:$F$58,3,0)," ")</f>
        <v>4503</v>
      </c>
      <c r="W741" s="179">
        <f>IFERROR(VLOOKUP(N741,TD!$B$54:$F$58,4,0)," ")</f>
        <v>20240255</v>
      </c>
      <c r="X741" s="174" t="s">
        <v>164</v>
      </c>
      <c r="Y741" s="172" t="str">
        <f>IFERROR(VLOOKUP(X741,TD!$J$55:$K$68,2,0)," ")</f>
        <v>Servicio de atención a incidentes y emergencias.</v>
      </c>
      <c r="Z741" s="180" t="str">
        <f>CONCATENATE(X741,"-",Y741)</f>
        <v>04-Servicio de atención a incidentes y emergencias.</v>
      </c>
      <c r="AA741" s="174" t="s">
        <v>221</v>
      </c>
      <c r="AB741" s="172" t="str">
        <f>IFERROR(VLOOKUP(AA741,TD!$N$55:$O$70,2,0)," ")</f>
        <v>Servicio de atención a emergencias y desastres</v>
      </c>
      <c r="AC741" s="180" t="str">
        <f>CONCATENATE(AA741,"_",AB741)</f>
        <v>004_Servicio de atención a emergencias y desastres</v>
      </c>
      <c r="AD741" s="180" t="str">
        <f>CONCATENATE(Z741," ",AC741)</f>
        <v>04-Servicio de atención a incidentes y emergencias. 004_Servicio de atención a emergencias y desastres</v>
      </c>
      <c r="AE741" s="179" t="str">
        <f>CONCATENATE(U741,V741,W741,X741,AA741)</f>
        <v>O23011745032024025504004</v>
      </c>
      <c r="AF741" s="172" t="str">
        <f>IFERROR(VLOOKUP(AD741,TD!$J$70:$K$93,2,0)," ")</f>
        <v>PM/0131/0104/45030040255</v>
      </c>
      <c r="AG741" s="130" t="s">
        <v>385</v>
      </c>
      <c r="AH741" s="181" t="s">
        <v>194</v>
      </c>
      <c r="AI741" s="184" t="str">
        <f>CONCATENATE(PAA[[#This Row],[Id Interno]],"-",PAA[[#This Row],[tipo de Contrato (TH talento humano - B/S bienes y/o servicios)]],"-",S741,"-",T741,"-",PAA[[#This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42" spans="2:35" ht="84" x14ac:dyDescent="0.35">
      <c r="B742" s="146">
        <v>20260752</v>
      </c>
      <c r="C742" s="117" t="s">
        <v>1032</v>
      </c>
      <c r="D742" s="125" t="s">
        <v>105</v>
      </c>
      <c r="E742" s="125" t="s">
        <v>363</v>
      </c>
      <c r="F742" s="125" t="s">
        <v>145</v>
      </c>
      <c r="G742" s="192" t="s">
        <v>382</v>
      </c>
      <c r="H742" s="178">
        <v>1</v>
      </c>
      <c r="I742" s="178">
        <v>0</v>
      </c>
      <c r="J742" s="127">
        <v>3100000</v>
      </c>
      <c r="K742" s="128" t="s">
        <v>398</v>
      </c>
      <c r="L742" s="176" t="s">
        <v>158</v>
      </c>
      <c r="M742" s="174" t="s">
        <v>421</v>
      </c>
      <c r="N742" s="125" t="s">
        <v>198</v>
      </c>
      <c r="O742" s="174" t="s">
        <v>887</v>
      </c>
      <c r="P742" s="174" t="s">
        <v>348</v>
      </c>
      <c r="Q742" s="129">
        <v>80111600</v>
      </c>
      <c r="R742" s="174" t="s">
        <v>211</v>
      </c>
      <c r="S742" s="174" t="str">
        <f>MID(PAA[[#This Row],[Meta Proyecto de Inversión]],1,4)</f>
        <v>8173</v>
      </c>
      <c r="T742" s="174" t="str">
        <f>MID(PAA[[#This Row],[Meta Proyecto de Inversión]],6,2)</f>
        <v>2-</v>
      </c>
      <c r="U742" s="179" t="str">
        <f>IFERROR(VLOOKUP(N742,TD!$B$54:$F$58,2,0)," ")</f>
        <v>O230117</v>
      </c>
      <c r="V742" s="179" t="str">
        <f>IFERROR(VLOOKUP(N742,TD!$B$54:$F$58,3,0)," ")</f>
        <v>4503</v>
      </c>
      <c r="W742" s="179">
        <f>IFERROR(VLOOKUP(N742,TD!$B$54:$F$58,4,0)," ")</f>
        <v>20240255</v>
      </c>
      <c r="X742" s="174" t="s">
        <v>164</v>
      </c>
      <c r="Y742" s="172" t="str">
        <f>IFERROR(VLOOKUP(X742,TD!$J$55:$K$68,2,0)," ")</f>
        <v>Servicio de atención a incidentes y emergencias.</v>
      </c>
      <c r="Z742" s="180" t="str">
        <f>CONCATENATE(X742,"-",Y742)</f>
        <v>04-Servicio de atención a incidentes y emergencias.</v>
      </c>
      <c r="AA742" s="174" t="s">
        <v>221</v>
      </c>
      <c r="AB742" s="172" t="str">
        <f>IFERROR(VLOOKUP(AA742,TD!$N$55:$O$70,2,0)," ")</f>
        <v>Servicio de atención a emergencias y desastres</v>
      </c>
      <c r="AC742" s="180" t="str">
        <f>CONCATENATE(AA742,"_",AB742)</f>
        <v>004_Servicio de atención a emergencias y desastres</v>
      </c>
      <c r="AD742" s="180" t="str">
        <f>CONCATENATE(Z742," ",AC742)</f>
        <v>04-Servicio de atención a incidentes y emergencias. 004_Servicio de atención a emergencias y desastres</v>
      </c>
      <c r="AE742" s="179" t="str">
        <f>CONCATENATE(U742,V742,W742,X742,AA742)</f>
        <v>O23011745032024025504004</v>
      </c>
      <c r="AF742" s="172" t="str">
        <f>IFERROR(VLOOKUP(AD742,TD!$J$70:$K$93,2,0)," ")</f>
        <v>PM/0131/0104/45030040255</v>
      </c>
      <c r="AG742" s="130" t="s">
        <v>385</v>
      </c>
      <c r="AH742" s="181" t="s">
        <v>194</v>
      </c>
      <c r="AI742" s="184" t="str">
        <f>CONCATENATE(PAA[[#This Row],[Id Interno]],"-",PAA[[#This Row],[tipo de Contrato (TH talento humano - B/S bienes y/o servicios)]],"-",S742,"-",T742,"-",PAA[[#This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43" spans="2:35" ht="84" x14ac:dyDescent="0.35">
      <c r="B743" s="146">
        <v>20260753</v>
      </c>
      <c r="C743" s="117" t="s">
        <v>1033</v>
      </c>
      <c r="D743" s="125" t="s">
        <v>105</v>
      </c>
      <c r="E743" s="125" t="s">
        <v>363</v>
      </c>
      <c r="F743" s="125" t="s">
        <v>145</v>
      </c>
      <c r="G743" s="192" t="s">
        <v>382</v>
      </c>
      <c r="H743" s="178">
        <v>2</v>
      </c>
      <c r="I743" s="178">
        <v>0</v>
      </c>
      <c r="J743" s="127">
        <v>6200000</v>
      </c>
      <c r="K743" s="128" t="s">
        <v>398</v>
      </c>
      <c r="L743" s="176" t="s">
        <v>158</v>
      </c>
      <c r="M743" s="174" t="s">
        <v>421</v>
      </c>
      <c r="N743" s="125" t="s">
        <v>198</v>
      </c>
      <c r="O743" s="174" t="s">
        <v>887</v>
      </c>
      <c r="P743" s="174" t="s">
        <v>348</v>
      </c>
      <c r="Q743" s="129">
        <v>80111600</v>
      </c>
      <c r="R743" s="174" t="s">
        <v>211</v>
      </c>
      <c r="S743" s="174" t="str">
        <f>MID(PAA[[#This Row],[Meta Proyecto de Inversión]],1,4)</f>
        <v>8173</v>
      </c>
      <c r="T743" s="174" t="str">
        <f>MID(PAA[[#This Row],[Meta Proyecto de Inversión]],6,2)</f>
        <v>2-</v>
      </c>
      <c r="U743" s="179" t="str">
        <f>IFERROR(VLOOKUP(N743,TD!$B$54:$F$58,2,0)," ")</f>
        <v>O230117</v>
      </c>
      <c r="V743" s="179" t="str">
        <f>IFERROR(VLOOKUP(N743,TD!$B$54:$F$58,3,0)," ")</f>
        <v>4503</v>
      </c>
      <c r="W743" s="179">
        <f>IFERROR(VLOOKUP(N743,TD!$B$54:$F$58,4,0)," ")</f>
        <v>20240255</v>
      </c>
      <c r="X743" s="174" t="s">
        <v>164</v>
      </c>
      <c r="Y743" s="172" t="str">
        <f>IFERROR(VLOOKUP(X743,TD!$J$55:$K$68,2,0)," ")</f>
        <v>Servicio de atención a incidentes y emergencias.</v>
      </c>
      <c r="Z743" s="180" t="str">
        <f>CONCATENATE(X743,"-",Y743)</f>
        <v>04-Servicio de atención a incidentes y emergencias.</v>
      </c>
      <c r="AA743" s="174" t="s">
        <v>221</v>
      </c>
      <c r="AB743" s="172" t="str">
        <f>IFERROR(VLOOKUP(AA743,TD!$N$55:$O$70,2,0)," ")</f>
        <v>Servicio de atención a emergencias y desastres</v>
      </c>
      <c r="AC743" s="180" t="str">
        <f>CONCATENATE(AA743,"_",AB743)</f>
        <v>004_Servicio de atención a emergencias y desastres</v>
      </c>
      <c r="AD743" s="180" t="str">
        <f>CONCATENATE(Z743," ",AC743)</f>
        <v>04-Servicio de atención a incidentes y emergencias. 004_Servicio de atención a emergencias y desastres</v>
      </c>
      <c r="AE743" s="179" t="str">
        <f>CONCATENATE(U743,V743,W743,X743,AA743)</f>
        <v>O23011745032024025504004</v>
      </c>
      <c r="AF743" s="172" t="str">
        <f>IFERROR(VLOOKUP(AD743,TD!$J$70:$K$93,2,0)," ")</f>
        <v>PM/0131/0104/45030040255</v>
      </c>
      <c r="AG743" s="130" t="s">
        <v>385</v>
      </c>
      <c r="AH743" s="181" t="s">
        <v>194</v>
      </c>
      <c r="AI743" s="184" t="str">
        <f>CONCATENATE(PAA[[#This Row],[Id Interno]],"-",PAA[[#This Row],[tipo de Contrato (TH talento humano - B/S bienes y/o servicios)]],"-",S743,"-",T743,"-",PAA[[#This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44" spans="2:35" ht="84" x14ac:dyDescent="0.35">
      <c r="B744" s="146">
        <v>20260754</v>
      </c>
      <c r="C744" s="117" t="s">
        <v>1034</v>
      </c>
      <c r="D744" s="125" t="s">
        <v>105</v>
      </c>
      <c r="E744" s="125" t="s">
        <v>363</v>
      </c>
      <c r="F744" s="125" t="s">
        <v>145</v>
      </c>
      <c r="G744" s="192" t="s">
        <v>382</v>
      </c>
      <c r="H744" s="178">
        <v>2</v>
      </c>
      <c r="I744" s="178">
        <v>0</v>
      </c>
      <c r="J744" s="127">
        <v>6200000</v>
      </c>
      <c r="K744" s="128" t="s">
        <v>398</v>
      </c>
      <c r="L744" s="176" t="s">
        <v>158</v>
      </c>
      <c r="M744" s="174" t="s">
        <v>421</v>
      </c>
      <c r="N744" s="125" t="s">
        <v>198</v>
      </c>
      <c r="O744" s="174" t="s">
        <v>887</v>
      </c>
      <c r="P744" s="174" t="s">
        <v>348</v>
      </c>
      <c r="Q744" s="129">
        <v>80111600</v>
      </c>
      <c r="R744" s="174" t="s">
        <v>211</v>
      </c>
      <c r="S744" s="174" t="str">
        <f>MID(PAA[[#This Row],[Meta Proyecto de Inversión]],1,4)</f>
        <v>8173</v>
      </c>
      <c r="T744" s="174" t="str">
        <f>MID(PAA[[#This Row],[Meta Proyecto de Inversión]],6,2)</f>
        <v>2-</v>
      </c>
      <c r="U744" s="179" t="str">
        <f>IFERROR(VLOOKUP(N744,TD!$B$54:$F$58,2,0)," ")</f>
        <v>O230117</v>
      </c>
      <c r="V744" s="179" t="str">
        <f>IFERROR(VLOOKUP(N744,TD!$B$54:$F$58,3,0)," ")</f>
        <v>4503</v>
      </c>
      <c r="W744" s="179">
        <f>IFERROR(VLOOKUP(N744,TD!$B$54:$F$58,4,0)," ")</f>
        <v>20240255</v>
      </c>
      <c r="X744" s="174" t="s">
        <v>164</v>
      </c>
      <c r="Y744" s="172" t="str">
        <f>IFERROR(VLOOKUP(X744,TD!$J$55:$K$68,2,0)," ")</f>
        <v>Servicio de atención a incidentes y emergencias.</v>
      </c>
      <c r="Z744" s="180" t="str">
        <f>CONCATENATE(X744,"-",Y744)</f>
        <v>04-Servicio de atención a incidentes y emergencias.</v>
      </c>
      <c r="AA744" s="174" t="s">
        <v>221</v>
      </c>
      <c r="AB744" s="172" t="str">
        <f>IFERROR(VLOOKUP(AA744,TD!$N$55:$O$70,2,0)," ")</f>
        <v>Servicio de atención a emergencias y desastres</v>
      </c>
      <c r="AC744" s="180" t="str">
        <f>CONCATENATE(AA744,"_",AB744)</f>
        <v>004_Servicio de atención a emergencias y desastres</v>
      </c>
      <c r="AD744" s="180" t="str">
        <f>CONCATENATE(Z744," ",AC744)</f>
        <v>04-Servicio de atención a incidentes y emergencias. 004_Servicio de atención a emergencias y desastres</v>
      </c>
      <c r="AE744" s="179" t="str">
        <f>CONCATENATE(U744,V744,W744,X744,AA744)</f>
        <v>O23011745032024025504004</v>
      </c>
      <c r="AF744" s="172" t="str">
        <f>IFERROR(VLOOKUP(AD744,TD!$J$70:$K$93,2,0)," ")</f>
        <v>PM/0131/0104/45030040255</v>
      </c>
      <c r="AG744" s="130" t="s">
        <v>385</v>
      </c>
      <c r="AH744" s="181" t="s">
        <v>194</v>
      </c>
      <c r="AI744" s="184" t="str">
        <f>CONCATENATE(PAA[[#This Row],[Id Interno]],"-",PAA[[#This Row],[tipo de Contrato (TH talento humano - B/S bienes y/o servicios)]],"-",S744,"-",T744,"-",PAA[[#This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45" spans="2:35" ht="84" x14ac:dyDescent="0.35">
      <c r="B745" s="137">
        <v>20260755</v>
      </c>
      <c r="C745" s="117" t="s">
        <v>1041</v>
      </c>
      <c r="D745" s="125" t="s">
        <v>88</v>
      </c>
      <c r="E745" s="125" t="s">
        <v>402</v>
      </c>
      <c r="F745" s="125" t="s">
        <v>111</v>
      </c>
      <c r="G745" s="126" t="s">
        <v>377</v>
      </c>
      <c r="H745" s="132">
        <v>12</v>
      </c>
      <c r="I745" s="132">
        <v>0</v>
      </c>
      <c r="J745" s="127">
        <v>15000000</v>
      </c>
      <c r="K745" s="128" t="s">
        <v>398</v>
      </c>
      <c r="L745" s="176" t="s">
        <v>157</v>
      </c>
      <c r="M745" s="174" t="s">
        <v>483</v>
      </c>
      <c r="N745" s="125" t="s">
        <v>198</v>
      </c>
      <c r="O745" s="174" t="s">
        <v>887</v>
      </c>
      <c r="P745" s="174" t="s">
        <v>348</v>
      </c>
      <c r="Q745" s="129">
        <v>25172500</v>
      </c>
      <c r="R745" s="174" t="s">
        <v>213</v>
      </c>
      <c r="S745" s="174" t="str">
        <f>MID(PAA[[#This Row],[Meta Proyecto de Inversión]],1,4)</f>
        <v>8173</v>
      </c>
      <c r="T745" s="174" t="str">
        <f>MID(PAA[[#This Row],[Meta Proyecto de Inversión]],6,2)</f>
        <v>4-</v>
      </c>
      <c r="U745" s="179" t="str">
        <f>IFERROR(VLOOKUP(N745,TD!$B$54:$F$58,2,0)," ")</f>
        <v>O230117</v>
      </c>
      <c r="V745" s="179" t="str">
        <f>IFERROR(VLOOKUP(N745,TD!$B$54:$F$58,3,0)," ")</f>
        <v>4503</v>
      </c>
      <c r="W745" s="179">
        <f>IFERROR(VLOOKUP(N745,TD!$B$54:$F$58,4,0)," ")</f>
        <v>20240255</v>
      </c>
      <c r="X745" s="174" t="s">
        <v>176</v>
      </c>
      <c r="Y745" s="172" t="str">
        <f>IFERROR(VLOOKUP(X745,TD!$J$55:$K$68,2,0)," ")</f>
        <v>Servicio de mantenimiento, dotación (HEA´s y equipo menor) y adquisición de vehiculos   especializados para la atención de emergencias.</v>
      </c>
      <c r="Z745" s="180" t="str">
        <f>CONCATENATE(X745,"-",Y745)</f>
        <v>09-Servicio de mantenimiento, dotación (HEA´s y equipo menor) y adquisición de vehiculos   especializados para la atención de emergencias.</v>
      </c>
      <c r="AA745" s="174" t="s">
        <v>221</v>
      </c>
      <c r="AB745" s="172" t="str">
        <f>IFERROR(VLOOKUP(AA745,TD!$N$55:$O$70,2,0)," ")</f>
        <v>Servicio de atención a emergencias y desastres</v>
      </c>
      <c r="AC745" s="180" t="str">
        <f>CONCATENATE(AA745,"_",AB745)</f>
        <v>004_Servicio de atención a emergencias y desastres</v>
      </c>
      <c r="AD745" s="180" t="str">
        <f>CONCATENATE(Z745," ",AC745)</f>
        <v>09-Servicio de mantenimiento, dotación (HEA´s y equipo menor) y adquisición de vehiculos   especializados para la atención de emergencias. 004_Servicio de atención a emergencias y desastres</v>
      </c>
      <c r="AE745" s="179" t="str">
        <f>CONCATENATE(U745,V745,W745,X745,AA745)</f>
        <v>O23011745032024025509004</v>
      </c>
      <c r="AF745" s="172" t="str">
        <f>IFERROR(VLOOKUP(AD745,TD!$J$70:$K$93,2,0)," ")</f>
        <v>PM/0131/0109/45030040255</v>
      </c>
      <c r="AG745" s="130" t="s">
        <v>547</v>
      </c>
      <c r="AH745" s="181" t="s">
        <v>194</v>
      </c>
      <c r="AI745" s="184" t="str">
        <f>CONCATENATE(PAA[[#This Row],[Id Interno]],"-",PAA[[#This Row],[tipo de Contrato (TH talento humano - B/S bienes y/o servicios)]],"-",S745,"-",T745,"-",PAA[[#This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46" spans="2:35" ht="70" x14ac:dyDescent="0.35">
      <c r="B746" s="137">
        <v>20260756</v>
      </c>
      <c r="C746" s="117" t="s">
        <v>1042</v>
      </c>
      <c r="D746" s="125" t="s">
        <v>92</v>
      </c>
      <c r="E746" s="125" t="s">
        <v>402</v>
      </c>
      <c r="F746" s="125" t="s">
        <v>89</v>
      </c>
      <c r="G746" s="126" t="s">
        <v>377</v>
      </c>
      <c r="H746" s="132">
        <v>12</v>
      </c>
      <c r="I746" s="132">
        <v>0</v>
      </c>
      <c r="J746" s="127">
        <v>1569006</v>
      </c>
      <c r="K746" s="128" t="s">
        <v>398</v>
      </c>
      <c r="L746" s="176" t="s">
        <v>157</v>
      </c>
      <c r="M746" s="174" t="s">
        <v>483</v>
      </c>
      <c r="N746" s="125" t="s">
        <v>330</v>
      </c>
      <c r="O746" s="174" t="s">
        <v>886</v>
      </c>
      <c r="P746" s="174" t="s">
        <v>161</v>
      </c>
      <c r="Q746" s="129">
        <v>78181505</v>
      </c>
      <c r="R746" s="174" t="s">
        <v>331</v>
      </c>
      <c r="S746" s="174" t="str">
        <f>MID(PAA[[#This Row],[Meta Proyecto de Inversión]],1,4)</f>
        <v>No a</v>
      </c>
      <c r="T746" s="174" t="str">
        <f>MID(PAA[[#This Row],[Meta Proyecto de Inversión]],6,2)</f>
        <v>li</v>
      </c>
      <c r="U746" s="179" t="str">
        <f>IFERROR(VLOOKUP(N746,TD!$B$54:$F$58,2,0)," ")</f>
        <v>NA</v>
      </c>
      <c r="V746" s="179" t="str">
        <f>IFERROR(VLOOKUP(N746,TD!$B$54:$F$58,3,0)," ")</f>
        <v>NA</v>
      </c>
      <c r="W746" s="179" t="str">
        <f>IFERROR(VLOOKUP(N746,TD!$B$54:$F$58,4,0)," ")</f>
        <v>NA</v>
      </c>
      <c r="X746" s="174" t="s">
        <v>335</v>
      </c>
      <c r="Y746" s="172" t="str">
        <f>IFERROR(VLOOKUP(X746,TD!$J$55:$K$68,2,0)," ")</f>
        <v>N/A</v>
      </c>
      <c r="Z746" s="180" t="str">
        <f>CONCATENATE(X746,"-",Y746)</f>
        <v>N/A-N/A</v>
      </c>
      <c r="AA746" s="174" t="s">
        <v>335</v>
      </c>
      <c r="AB746" s="172" t="str">
        <f>IFERROR(VLOOKUP(AA746,TD!$N$55:$O$70,2,0)," ")</f>
        <v>N/A</v>
      </c>
      <c r="AC746" s="180" t="str">
        <f>CONCATENATE(AA746,"_",AB746)</f>
        <v>N/A_N/A</v>
      </c>
      <c r="AD746" s="180" t="str">
        <f>CONCATENATE(Z746," ",AC746)</f>
        <v>N/A-N/A N/A_N/A</v>
      </c>
      <c r="AE746" s="179" t="str">
        <f>CONCATENATE(U746,V746,W746,X746,AA746)</f>
        <v>NANANAN/AN/A</v>
      </c>
      <c r="AF746" s="172" t="str">
        <f>IFERROR(VLOOKUP(AD746,TD!$J$70:$K$93,2,0)," ")</f>
        <v>N/A</v>
      </c>
      <c r="AG746" s="130" t="s">
        <v>332</v>
      </c>
      <c r="AH746" s="181" t="s">
        <v>194</v>
      </c>
      <c r="AI746" s="184" t="str">
        <f>CONCATENATE(PAA[[#This Row],[Id Interno]],"-",PAA[[#This Row],[tipo de Contrato (TH talento humano - B/S bienes y/o servicios)]],"-",S746,"-",T746,"-",PAA[[#This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47" spans="2:35" ht="70" x14ac:dyDescent="0.35">
      <c r="B747" s="137">
        <v>20260757</v>
      </c>
      <c r="C747" s="117" t="s">
        <v>1054</v>
      </c>
      <c r="D747" s="125" t="s">
        <v>105</v>
      </c>
      <c r="E747" s="125" t="s">
        <v>363</v>
      </c>
      <c r="F747" s="125" t="s">
        <v>144</v>
      </c>
      <c r="G747" s="126" t="s">
        <v>377</v>
      </c>
      <c r="H747" s="132">
        <v>3</v>
      </c>
      <c r="I747" s="132">
        <v>0</v>
      </c>
      <c r="J747" s="127">
        <v>15000000</v>
      </c>
      <c r="K747" s="128" t="s">
        <v>398</v>
      </c>
      <c r="L747" s="176" t="s">
        <v>150</v>
      </c>
      <c r="M747" s="174" t="s">
        <v>401</v>
      </c>
      <c r="N747" s="125" t="s">
        <v>197</v>
      </c>
      <c r="O747" s="174" t="s">
        <v>886</v>
      </c>
      <c r="P747" s="174" t="s">
        <v>348</v>
      </c>
      <c r="Q747" s="129">
        <v>80111600</v>
      </c>
      <c r="R747" s="174" t="s">
        <v>209</v>
      </c>
      <c r="S747" s="174" t="str">
        <f>MID(PAA[[#This Row],[Meta Proyecto de Inversión]],1,4)</f>
        <v>8126</v>
      </c>
      <c r="T747" s="174" t="str">
        <f>MID(PAA[[#This Row],[Meta Proyecto de Inversión]],6,2)</f>
        <v>10</v>
      </c>
      <c r="U747" s="179" t="str">
        <f>IFERROR(VLOOKUP(N747,TD!$B$54:$F$58,2,0)," ")</f>
        <v>O230117</v>
      </c>
      <c r="V747" s="179" t="str">
        <f>IFERROR(VLOOKUP(N747,TD!$B$54:$F$58,3,0)," ")</f>
        <v>4599</v>
      </c>
      <c r="W747" s="179">
        <f>IFERROR(VLOOKUP(N747,TD!$B$54:$F$58,4,0)," ")</f>
        <v>20240207</v>
      </c>
      <c r="X747" s="174" t="s">
        <v>182</v>
      </c>
      <c r="Y747" s="172" t="str">
        <f>IFERROR(VLOOKUP(X747,TD!$J$55:$K$68,2,0)," ")</f>
        <v>Servicios para la planeación y sistemas de gestión y comunicación estratégica</v>
      </c>
      <c r="Z747" s="180" t="str">
        <f>CONCATENATE(X747,"-",Y747)</f>
        <v>13-Servicios para la planeación y sistemas de gestión y comunicación estratégica</v>
      </c>
      <c r="AA747" s="174" t="s">
        <v>231</v>
      </c>
      <c r="AB747" s="172" t="str">
        <f>IFERROR(VLOOKUP(AA747,TD!$N$55:$O$70,2,0)," ")</f>
        <v>Documentos de planeación</v>
      </c>
      <c r="AC747" s="180" t="str">
        <f>CONCATENATE(AA747,"_",AB747)</f>
        <v>019_Documentos de planeación</v>
      </c>
      <c r="AD747" s="180" t="str">
        <f>CONCATENATE(Z747," ",AC747)</f>
        <v>13-Servicios para la planeación y sistemas de gestión y comunicación estratégica 019_Documentos de planeación</v>
      </c>
      <c r="AE747" s="179" t="str">
        <f>CONCATENATE(U747,V747,W747,X747,AA747)</f>
        <v>O23011745992024020713019</v>
      </c>
      <c r="AF747" s="172" t="str">
        <f>IFERROR(VLOOKUP(AD747,TD!$J$70:$K$93,2,0)," ")</f>
        <v>PM/0131/0113/45990190207</v>
      </c>
      <c r="AG747" s="130" t="s">
        <v>385</v>
      </c>
      <c r="AH747" s="181" t="s">
        <v>194</v>
      </c>
      <c r="AI747" s="184" t="str">
        <f>CONCATENATE(PAA[[#This Row],[Id Interno]],"-",PAA[[#This Row],[tipo de Contrato (TH talento humano - B/S bienes y/o servicios)]],"-",S747,"-",T747,"-",PAA[[#This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48" spans="2:35" ht="70" x14ac:dyDescent="0.35">
      <c r="B748" s="137">
        <v>20260758</v>
      </c>
      <c r="C748" s="117" t="s">
        <v>1043</v>
      </c>
      <c r="D748" s="125" t="s">
        <v>83</v>
      </c>
      <c r="E748" s="125" t="s">
        <v>402</v>
      </c>
      <c r="F748" s="125" t="s">
        <v>89</v>
      </c>
      <c r="G748" s="126" t="s">
        <v>377</v>
      </c>
      <c r="H748" s="132">
        <v>4</v>
      </c>
      <c r="I748" s="132">
        <v>0</v>
      </c>
      <c r="J748" s="127">
        <v>150000000</v>
      </c>
      <c r="K748" s="128" t="s">
        <v>398</v>
      </c>
      <c r="L748" s="176" t="s">
        <v>154</v>
      </c>
      <c r="M748" s="174" t="s">
        <v>438</v>
      </c>
      <c r="N748" s="125" t="s">
        <v>330</v>
      </c>
      <c r="O748" s="174" t="s">
        <v>886</v>
      </c>
      <c r="P748" s="174" t="s">
        <v>161</v>
      </c>
      <c r="Q748" s="129" t="s">
        <v>616</v>
      </c>
      <c r="R748" s="174" t="s">
        <v>331</v>
      </c>
      <c r="S748" s="174" t="str">
        <f>MID(PAA[[#This Row],[Meta Proyecto de Inversión]],1,4)</f>
        <v>No a</v>
      </c>
      <c r="T748" s="174" t="str">
        <f>MID(PAA[[#This Row],[Meta Proyecto de Inversión]],6,2)</f>
        <v>li</v>
      </c>
      <c r="U748" s="179" t="str">
        <f>IFERROR(VLOOKUP(N748,TD!$B$54:$F$58,2,0)," ")</f>
        <v>NA</v>
      </c>
      <c r="V748" s="179" t="str">
        <f>IFERROR(VLOOKUP(N748,TD!$B$54:$F$58,3,0)," ")</f>
        <v>NA</v>
      </c>
      <c r="W748" s="179" t="str">
        <f>IFERROR(VLOOKUP(N748,TD!$B$54:$F$58,4,0)," ")</f>
        <v>NA</v>
      </c>
      <c r="X748" s="174" t="s">
        <v>335</v>
      </c>
      <c r="Y748" s="172" t="str">
        <f>IFERROR(VLOOKUP(X748,TD!$J$55:$K$68,2,0)," ")</f>
        <v>N/A</v>
      </c>
      <c r="Z748" s="180" t="str">
        <f>CONCATENATE(X748,"-",Y748)</f>
        <v>N/A-N/A</v>
      </c>
      <c r="AA748" s="174" t="s">
        <v>335</v>
      </c>
      <c r="AB748" s="172" t="str">
        <f>IFERROR(VLOOKUP(AA748,TD!$N$55:$O$70,2,0)," ")</f>
        <v>N/A</v>
      </c>
      <c r="AC748" s="180" t="str">
        <f>CONCATENATE(AA748,"_",AB748)</f>
        <v>N/A_N/A</v>
      </c>
      <c r="AD748" s="180" t="str">
        <f>CONCATENATE(Z748," ",AC748)</f>
        <v>N/A-N/A N/A_N/A</v>
      </c>
      <c r="AE748" s="179" t="str">
        <f>CONCATENATE(U748,V748,W748,X748,AA748)</f>
        <v>NANANAN/AN/A</v>
      </c>
      <c r="AF748" s="172" t="str">
        <f>IFERROR(VLOOKUP(AD748,TD!$J$70:$K$93,2,0)," ")</f>
        <v>N/A</v>
      </c>
      <c r="AG748" s="130" t="s">
        <v>332</v>
      </c>
      <c r="AH748" s="181" t="s">
        <v>194</v>
      </c>
      <c r="AI748" s="184" t="str">
        <f>CONCATENATE(PAA[[#This Row],[Id Interno]],"-",PAA[[#This Row],[tipo de Contrato (TH talento humano - B/S bienes y/o servicios)]],"-",S748,"-",T748,"-",PAA[[#This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49" spans="2:35" ht="56" x14ac:dyDescent="0.35">
      <c r="B749" s="146">
        <v>20260760</v>
      </c>
      <c r="C749" s="117" t="s">
        <v>1044</v>
      </c>
      <c r="D749" s="125" t="s">
        <v>105</v>
      </c>
      <c r="E749" s="125" t="s">
        <v>363</v>
      </c>
      <c r="F749" s="125" t="s">
        <v>144</v>
      </c>
      <c r="G749" s="126" t="s">
        <v>373</v>
      </c>
      <c r="H749" s="132">
        <v>2</v>
      </c>
      <c r="I749" s="132">
        <v>0</v>
      </c>
      <c r="J749" s="127">
        <v>10322174</v>
      </c>
      <c r="K749" s="128" t="s">
        <v>398</v>
      </c>
      <c r="L749" s="176" t="s">
        <v>155</v>
      </c>
      <c r="M749" s="174" t="s">
        <v>422</v>
      </c>
      <c r="N749" s="125" t="s">
        <v>197</v>
      </c>
      <c r="O749" s="174" t="s">
        <v>886</v>
      </c>
      <c r="P749" s="174" t="s">
        <v>348</v>
      </c>
      <c r="Q749" s="129" t="s">
        <v>725</v>
      </c>
      <c r="R749" s="174" t="s">
        <v>208</v>
      </c>
      <c r="S749" s="174" t="str">
        <f>MID(PAA[[#This Row],[Meta Proyecto de Inversión]],1,4)</f>
        <v>8126</v>
      </c>
      <c r="T749" s="174" t="str">
        <f>MID(PAA[[#This Row],[Meta Proyecto de Inversión]],6,2)</f>
        <v>9-</v>
      </c>
      <c r="U749" s="179" t="str">
        <f>IFERROR(VLOOKUP(N749,TD!$B$54:$F$58,2,0)," ")</f>
        <v>O230117</v>
      </c>
      <c r="V749" s="179" t="str">
        <f>IFERROR(VLOOKUP(N749,TD!$B$54:$F$58,3,0)," ")</f>
        <v>4599</v>
      </c>
      <c r="W749" s="179">
        <f>IFERROR(VLOOKUP(N749,TD!$B$54:$F$58,4,0)," ")</f>
        <v>20240207</v>
      </c>
      <c r="X749" s="174" t="s">
        <v>174</v>
      </c>
      <c r="Y749" s="172" t="str">
        <f>IFERROR(VLOOKUP(X749,TD!$J$55:$K$68,2,0)," ")</f>
        <v>Infraestructura física, mantenimiento y dotación (Sedes construidas, mantenidas reforzadas)</v>
      </c>
      <c r="Z749" s="180" t="str">
        <f>CONCATENATE(X749,"-",Y749)</f>
        <v>08-Infraestructura física, mantenimiento y dotación (Sedes construidas, mantenidas reforzadas)</v>
      </c>
      <c r="AA749" s="174" t="s">
        <v>227</v>
      </c>
      <c r="AB749" s="172" t="str">
        <f>IFERROR(VLOOKUP(AA749,TD!$N$55:$O$70,2,0)," ")</f>
        <v>Sedes mantenidas</v>
      </c>
      <c r="AC749" s="180" t="str">
        <f>CONCATENATE(AA749,"_",AB749)</f>
        <v>016_Sedes mantenidas</v>
      </c>
      <c r="AD749" s="180" t="str">
        <f>CONCATENATE(Z749," ",AC749)</f>
        <v>08-Infraestructura física, mantenimiento y dotación (Sedes construidas, mantenidas reforzadas) 016_Sedes mantenidas</v>
      </c>
      <c r="AE749" s="179" t="str">
        <f>CONCATENATE(U749,V749,W749,X749,AA749)</f>
        <v>O23011745992024020708016</v>
      </c>
      <c r="AF749" s="172" t="str">
        <f>IFERROR(VLOOKUP(AD749,TD!$J$70:$K$93,2,0)," ")</f>
        <v>PM/0131/0108/45990160207</v>
      </c>
      <c r="AG749" s="130" t="s">
        <v>385</v>
      </c>
      <c r="AH749" s="181" t="s">
        <v>194</v>
      </c>
      <c r="AI749" s="184" t="str">
        <f>CONCATENATE(PAA[[#This Row],[Id Interno]],"-",PAA[[#This Row],[tipo de Contrato (TH talento humano - B/S bienes y/o servicios)]],"-",S749,"-",T749,"-",PAA[[#This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50" spans="2:35" ht="84" x14ac:dyDescent="0.35">
      <c r="B750" s="146">
        <v>20260761</v>
      </c>
      <c r="C750" s="117" t="s">
        <v>1045</v>
      </c>
      <c r="D750" s="125" t="s">
        <v>114</v>
      </c>
      <c r="E750" s="125" t="s">
        <v>402</v>
      </c>
      <c r="F750" s="125" t="s">
        <v>89</v>
      </c>
      <c r="G750" s="126" t="s">
        <v>377</v>
      </c>
      <c r="H750" s="132">
        <v>2</v>
      </c>
      <c r="I750" s="132">
        <v>0</v>
      </c>
      <c r="J750" s="127">
        <v>32733508</v>
      </c>
      <c r="K750" s="128" t="s">
        <v>398</v>
      </c>
      <c r="L750" s="176" t="s">
        <v>155</v>
      </c>
      <c r="M750" s="174" t="s">
        <v>422</v>
      </c>
      <c r="N750" s="125" t="s">
        <v>330</v>
      </c>
      <c r="O750" s="174" t="s">
        <v>886</v>
      </c>
      <c r="P750" s="174" t="s">
        <v>161</v>
      </c>
      <c r="Q750" s="129" t="s">
        <v>726</v>
      </c>
      <c r="R750" s="174" t="s">
        <v>331</v>
      </c>
      <c r="S750" s="174" t="str">
        <f>MID(PAA[[#This Row],[Meta Proyecto de Inversión]],1,4)</f>
        <v>No a</v>
      </c>
      <c r="T750" s="174" t="str">
        <f>MID(PAA[[#This Row],[Meta Proyecto de Inversión]],6,2)</f>
        <v>li</v>
      </c>
      <c r="U750" s="179" t="str">
        <f>IFERROR(VLOOKUP(N750,TD!$B$54:$F$58,2,0)," ")</f>
        <v>NA</v>
      </c>
      <c r="V750" s="179" t="str">
        <f>IFERROR(VLOOKUP(N750,TD!$B$54:$F$58,3,0)," ")</f>
        <v>NA</v>
      </c>
      <c r="W750" s="179" t="str">
        <f>IFERROR(VLOOKUP(N750,TD!$B$54:$F$58,4,0)," ")</f>
        <v>NA</v>
      </c>
      <c r="X750" s="174" t="s">
        <v>335</v>
      </c>
      <c r="Y750" s="172" t="str">
        <f>IFERROR(VLOOKUP(X750,TD!$J$55:$K$68,2,0)," ")</f>
        <v>N/A</v>
      </c>
      <c r="Z750" s="180" t="str">
        <f>CONCATENATE(X750,"-",Y750)</f>
        <v>N/A-N/A</v>
      </c>
      <c r="AA750" s="174" t="s">
        <v>335</v>
      </c>
      <c r="AB750" s="172" t="str">
        <f>IFERROR(VLOOKUP(AA750,TD!$N$55:$O$70,2,0)," ")</f>
        <v>N/A</v>
      </c>
      <c r="AC750" s="180" t="str">
        <f>CONCATENATE(AA750,"_",AB750)</f>
        <v>N/A_N/A</v>
      </c>
      <c r="AD750" s="180" t="str">
        <f>CONCATENATE(Z750," ",AC750)</f>
        <v>N/A-N/A N/A_N/A</v>
      </c>
      <c r="AE750" s="179" t="str">
        <f>CONCATENATE(U750,V750,W750,X750,AA750)</f>
        <v>NANANAN/AN/A</v>
      </c>
      <c r="AF750" s="172" t="str">
        <f>IFERROR(VLOOKUP(AD750,TD!$J$70:$K$93,2,0)," ")</f>
        <v>N/A</v>
      </c>
      <c r="AG750" s="130" t="s">
        <v>332</v>
      </c>
      <c r="AH750" s="181" t="s">
        <v>194</v>
      </c>
      <c r="AI750" s="184" t="str">
        <f>CONCATENATE(PAA[[#This Row],[Id Interno]],"-",PAA[[#This Row],[tipo de Contrato (TH talento humano - B/S bienes y/o servicios)]],"-",S750,"-",T750,"-",PAA[[#This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51" spans="2:35" ht="56" x14ac:dyDescent="0.35">
      <c r="B751" s="146">
        <v>20260763</v>
      </c>
      <c r="C751" s="117" t="s">
        <v>1048</v>
      </c>
      <c r="D751" s="125" t="s">
        <v>88</v>
      </c>
      <c r="E751" s="125" t="s">
        <v>402</v>
      </c>
      <c r="F751" s="125" t="s">
        <v>101</v>
      </c>
      <c r="G751" s="126" t="s">
        <v>377</v>
      </c>
      <c r="H751" s="132">
        <v>1</v>
      </c>
      <c r="I751" s="132">
        <v>0</v>
      </c>
      <c r="J751" s="127">
        <v>47790000</v>
      </c>
      <c r="K751" s="128" t="s">
        <v>398</v>
      </c>
      <c r="L751" s="176" t="s">
        <v>155</v>
      </c>
      <c r="M751" s="174" t="s">
        <v>422</v>
      </c>
      <c r="N751" s="125" t="s">
        <v>198</v>
      </c>
      <c r="O751" s="174" t="s">
        <v>887</v>
      </c>
      <c r="P751" s="174" t="s">
        <v>348</v>
      </c>
      <c r="Q751" s="129" t="s">
        <v>728</v>
      </c>
      <c r="R751" s="174" t="s">
        <v>351</v>
      </c>
      <c r="S751" s="174" t="str">
        <f>MID(PAA[[#This Row],[Meta Proyecto de Inversión]],1,4)</f>
        <v>8173</v>
      </c>
      <c r="T751" s="174" t="str">
        <f>MID(PAA[[#This Row],[Meta Proyecto de Inversión]],6,2)</f>
        <v>11</v>
      </c>
      <c r="U751" s="179" t="str">
        <f>IFERROR(VLOOKUP(N751,TD!$B$54:$F$58,2,0)," ")</f>
        <v>O230117</v>
      </c>
      <c r="V751" s="179" t="str">
        <f>IFERROR(VLOOKUP(N751,TD!$B$54:$F$58,3,0)," ")</f>
        <v>4503</v>
      </c>
      <c r="W751" s="179">
        <f>IFERROR(VLOOKUP(N751,TD!$B$54:$F$58,4,0)," ")</f>
        <v>20240255</v>
      </c>
      <c r="X751" s="174">
        <v>14</v>
      </c>
      <c r="Y751" s="172" t="str">
        <f>IFERROR(VLOOKUP(X751,TD!$J$55:$K$68,2,0)," ")</f>
        <v xml:space="preserve">Infraestructura física misional construida mantenida y dotada </v>
      </c>
      <c r="Z751" s="180" t="str">
        <f>CONCATENATE(X751,"-",Y751)</f>
        <v xml:space="preserve">14-Infraestructura física misional construida mantenida y dotada </v>
      </c>
      <c r="AA751" s="174" t="s">
        <v>225</v>
      </c>
      <c r="AB751" s="172" t="str">
        <f>IFERROR(VLOOKUP(AA751,TD!$N$55:$O$70,2,0)," ")</f>
        <v>Estaciones de bomberos adecuadas</v>
      </c>
      <c r="AC751" s="180" t="str">
        <f>CONCATENATE(AA751,"_",AB751)</f>
        <v>014_Estaciones de bomberos adecuadas</v>
      </c>
      <c r="AD751" s="180" t="str">
        <f>CONCATENATE(Z751," ",AC751)</f>
        <v>14-Infraestructura física misional construida mantenida y dotada  014_Estaciones de bomberos adecuadas</v>
      </c>
      <c r="AE751" s="179" t="str">
        <f>CONCATENATE(U751,V751,W751,X751,AA751)</f>
        <v>O23011745032024025514014</v>
      </c>
      <c r="AF751" s="172" t="str">
        <f>IFERROR(VLOOKUP(AD751,TD!$J$70:$K$93,2,0)," ")</f>
        <v>PM/0131/0114/45030140255</v>
      </c>
      <c r="AG751" s="130" t="s">
        <v>355</v>
      </c>
      <c r="AH751" s="181" t="s">
        <v>194</v>
      </c>
      <c r="AI751" s="184" t="str">
        <f>CONCATENATE(PAA[[#This Row],[Id Interno]],"-",PAA[[#This Row],[tipo de Contrato (TH talento humano - B/S bienes y/o servicios)]],"-",S751,"-",T751,"-",PAA[[#This Row],[Objeto de la contratación]])</f>
        <v>20260763-BS-8173-11-Adición No. 1 prórroga No. 3 al contrato 721 de 2025 con objeto "Adquisición de mobiliario y elementos para la dotación de las instalaciones de la UAE Cuerpo Oficial de Bomberos Bogotá- SGC.</v>
      </c>
    </row>
    <row r="752" spans="2:35" ht="112" x14ac:dyDescent="0.35">
      <c r="B752" s="146">
        <v>20260764</v>
      </c>
      <c r="C752" s="117" t="s">
        <v>1049</v>
      </c>
      <c r="D752" s="125" t="s">
        <v>119</v>
      </c>
      <c r="E752" s="125" t="s">
        <v>402</v>
      </c>
      <c r="F752" s="125" t="s">
        <v>128</v>
      </c>
      <c r="G752" s="126" t="s">
        <v>377</v>
      </c>
      <c r="H752" s="132">
        <v>0</v>
      </c>
      <c r="I752" s="132">
        <v>0</v>
      </c>
      <c r="J752" s="127">
        <v>11378345</v>
      </c>
      <c r="K752" s="128" t="s">
        <v>398</v>
      </c>
      <c r="L752" s="176" t="s">
        <v>155</v>
      </c>
      <c r="M752" s="174" t="s">
        <v>422</v>
      </c>
      <c r="N752" s="125" t="s">
        <v>198</v>
      </c>
      <c r="O752" s="174" t="s">
        <v>887</v>
      </c>
      <c r="P752" s="174" t="s">
        <v>162</v>
      </c>
      <c r="Q752" s="129" t="s">
        <v>335</v>
      </c>
      <c r="R752" s="174" t="s">
        <v>216</v>
      </c>
      <c r="S752" s="174" t="str">
        <f>MID(PAA[[#This Row],[Meta Proyecto de Inversión]],1,4)</f>
        <v>8173</v>
      </c>
      <c r="T752" s="174" t="str">
        <f>MID(PAA[[#This Row],[Meta Proyecto de Inversión]],6,2)</f>
        <v>7-</v>
      </c>
      <c r="U752" s="179" t="str">
        <f>IFERROR(VLOOKUP(N752,TD!$B$54:$F$58,2,0)," ")</f>
        <v>O230117</v>
      </c>
      <c r="V752" s="179" t="str">
        <f>IFERROR(VLOOKUP(N752,TD!$B$54:$F$58,3,0)," ")</f>
        <v>4503</v>
      </c>
      <c r="W752" s="179">
        <f>IFERROR(VLOOKUP(N752,TD!$B$54:$F$58,4,0)," ")</f>
        <v>20240255</v>
      </c>
      <c r="X752" s="174" t="s">
        <v>174</v>
      </c>
      <c r="Y752" s="172" t="str">
        <f>IFERROR(VLOOKUP(X752,TD!$J$55:$K$68,2,0)," ")</f>
        <v>Infraestructura física, mantenimiento y dotación (Sedes construidas, mantenidas reforzadas)</v>
      </c>
      <c r="Z752" s="180" t="str">
        <f>CONCATENATE(X752,"-",Y752)</f>
        <v>08-Infraestructura física, mantenimiento y dotación (Sedes construidas, mantenidas reforzadas)</v>
      </c>
      <c r="AA752" s="174" t="s">
        <v>282</v>
      </c>
      <c r="AB752" s="172" t="str">
        <f>IFERROR(VLOOKUP(AA752,TD!$N$55:$O$70,2,0)," ")</f>
        <v>Documentos de lineamientos técnicos</v>
      </c>
      <c r="AC752" s="180" t="str">
        <f>CONCATENATE(AA752,"_",AB752)</f>
        <v>031__Documentos de lineamientos técnicos</v>
      </c>
      <c r="AD752" s="180" t="str">
        <f>CONCATENATE(Z752," ",AC752)</f>
        <v>08-Infraestructura física, mantenimiento y dotación (Sedes construidas, mantenidas reforzadas) 031__Documentos de lineamientos técnicos</v>
      </c>
      <c r="AE752" s="179" t="str">
        <f>CONCATENATE(U752,V752,W752,X752,AA752)</f>
        <v>O23011745032024025508031_</v>
      </c>
      <c r="AF752" s="172" t="str">
        <f>IFERROR(VLOOKUP(AD752,TD!$J$70:$K$93,2,0)," ")</f>
        <v>PM/0131/0108/45030310255</v>
      </c>
      <c r="AG752" s="130" t="s">
        <v>548</v>
      </c>
      <c r="AH752" s="181" t="s">
        <v>194</v>
      </c>
      <c r="AI752" s="184" t="str">
        <f>CONCATENATE(PAA[[#This Row],[Id Interno]],"-",PAA[[#This Row],[tipo de Contrato (TH talento humano - B/S bienes y/o servicios)]],"-",S752,"-",T752,"-",PAA[[#This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53" spans="2:35" ht="98" x14ac:dyDescent="0.35">
      <c r="B753" s="137">
        <v>20260765</v>
      </c>
      <c r="C753" s="117" t="s">
        <v>1051</v>
      </c>
      <c r="D753" s="125" t="s">
        <v>114</v>
      </c>
      <c r="E753" s="125" t="s">
        <v>402</v>
      </c>
      <c r="F753" s="125" t="s">
        <v>79</v>
      </c>
      <c r="G753" s="126" t="s">
        <v>379</v>
      </c>
      <c r="H753" s="132">
        <v>3</v>
      </c>
      <c r="I753" s="132">
        <v>0</v>
      </c>
      <c r="J753" s="127">
        <v>20000000</v>
      </c>
      <c r="K753" s="128" t="s">
        <v>398</v>
      </c>
      <c r="L753" s="176" t="s">
        <v>156</v>
      </c>
      <c r="M753" s="174" t="s">
        <v>484</v>
      </c>
      <c r="N753" s="125" t="s">
        <v>198</v>
      </c>
      <c r="O753" s="174" t="s">
        <v>887</v>
      </c>
      <c r="P753" s="174" t="s">
        <v>348</v>
      </c>
      <c r="Q753" s="129" t="s">
        <v>1052</v>
      </c>
      <c r="R753" s="174" t="s">
        <v>210</v>
      </c>
      <c r="S753" s="174" t="str">
        <f>MID(PAA[[#This Row],[Meta Proyecto de Inversión]],1,4)</f>
        <v>8173</v>
      </c>
      <c r="T753" s="166" t="str">
        <f>MID(PAA[[#This Row],[Meta Proyecto de Inversión]],6,2)</f>
        <v>1-</v>
      </c>
      <c r="U753" s="179" t="str">
        <f>IFERROR(VLOOKUP(N753,TD!$B$54:$F$58,2,0)," ")</f>
        <v>O230117</v>
      </c>
      <c r="V753" s="179" t="str">
        <f>IFERROR(VLOOKUP(N753,TD!$B$54:$F$58,3,0)," ")</f>
        <v>4503</v>
      </c>
      <c r="W753" s="179">
        <f>IFERROR(VLOOKUP(N753,TD!$B$54:$F$58,4,0)," ")</f>
        <v>20240255</v>
      </c>
      <c r="X753" s="174" t="s">
        <v>166</v>
      </c>
      <c r="Y753" s="172" t="str">
        <f>IFERROR(VLOOKUP(X753,TD!$J$55:$K$68,2,0)," ")</f>
        <v>Servicio de capacitaciones en gestión del riesgo de incendios  a la ciudadania.</v>
      </c>
      <c r="Z753" s="180" t="str">
        <f>CONCATENATE(X753,"-",Y753)</f>
        <v>05-Servicio de capacitaciones en gestión del riesgo de incendios  a la ciudadania.</v>
      </c>
      <c r="AA753" s="174" t="s">
        <v>223</v>
      </c>
      <c r="AB753" s="172" t="str">
        <f>IFERROR(VLOOKUP(AA753,TD!$N$55:$O$70,2,0)," ")</f>
        <v>Servicio prevención y control de incendios</v>
      </c>
      <c r="AC753" s="180" t="str">
        <f>CONCATENATE(AA753,"_",AB753)</f>
        <v>035_Servicio prevención y control de incendios</v>
      </c>
      <c r="AD753" s="180" t="str">
        <f>CONCATENATE(Z753," ",AC753)</f>
        <v>05-Servicio de capacitaciones en gestión del riesgo de incendios  a la ciudadania. 035_Servicio prevención y control de incendios</v>
      </c>
      <c r="AE753" s="179" t="str">
        <f>CONCATENATE(U753,V753,W753,X753,AA753)</f>
        <v>O23011745032024025505035</v>
      </c>
      <c r="AF753" s="172" t="str">
        <f>IFERROR(VLOOKUP(AD753,TD!$J$70:$K$93,2,0)," ")</f>
        <v>PM/0131/0105/45030350255</v>
      </c>
      <c r="AG753" s="130" t="s">
        <v>80</v>
      </c>
      <c r="AH753" s="181" t="s">
        <v>193</v>
      </c>
      <c r="AI753" s="184" t="str">
        <f>CONCATENATE(PAA[[#This Row],[Id Interno]],"-",PAA[[#This Row],[tipo de Contrato (TH talento humano - B/S bienes y/o servicios)]],"-",S753,"-",T753,"-",PAA[[#This Row],[Objeto de la contratación]])</f>
        <v>20260765-BS-8173-1--Adquisición de herramientas, equipo y accesorios para el desarrollo de actividades de reduccion del riesgo adelantados por la Subdirección de Gestión del Riesgo_SGR</v>
      </c>
    </row>
    <row r="754" spans="2:35" ht="56" x14ac:dyDescent="0.35">
      <c r="B754" s="137">
        <v>20260766</v>
      </c>
      <c r="C754" s="117" t="s">
        <v>989</v>
      </c>
      <c r="D754" s="125" t="s">
        <v>105</v>
      </c>
      <c r="E754" s="125" t="s">
        <v>402</v>
      </c>
      <c r="F754" s="125" t="s">
        <v>130</v>
      </c>
      <c r="G754" s="126" t="s">
        <v>380</v>
      </c>
      <c r="H754" s="132">
        <v>12</v>
      </c>
      <c r="I754" s="132">
        <v>0</v>
      </c>
      <c r="J754" s="127">
        <v>60013535</v>
      </c>
      <c r="K754" s="128" t="s">
        <v>398</v>
      </c>
      <c r="L754" s="176" t="s">
        <v>151</v>
      </c>
      <c r="M754" s="174" t="s">
        <v>401</v>
      </c>
      <c r="N754" s="125" t="s">
        <v>330</v>
      </c>
      <c r="O754" s="174" t="s">
        <v>886</v>
      </c>
      <c r="P754" s="174" t="s">
        <v>161</v>
      </c>
      <c r="Q754" s="129" t="s">
        <v>983</v>
      </c>
      <c r="R754" s="174" t="s">
        <v>331</v>
      </c>
      <c r="S754" s="174" t="str">
        <f>MID(PAA[[#This Row],[Meta Proyecto de Inversión]],1,4)</f>
        <v>No a</v>
      </c>
      <c r="T754" s="174" t="str">
        <f>MID(PAA[[#This Row],[Meta Proyecto de Inversión]],6,2)</f>
        <v>li</v>
      </c>
      <c r="U754" s="179" t="str">
        <f>IFERROR(VLOOKUP(N754,TD!$B$54:$F$58,2,0)," ")</f>
        <v>NA</v>
      </c>
      <c r="V754" s="179" t="str">
        <f>IFERROR(VLOOKUP(N754,TD!$B$54:$F$58,3,0)," ")</f>
        <v>NA</v>
      </c>
      <c r="W754" s="179" t="str">
        <f>IFERROR(VLOOKUP(N754,TD!$B$54:$F$58,4,0)," ")</f>
        <v>NA</v>
      </c>
      <c r="X754" s="174" t="s">
        <v>335</v>
      </c>
      <c r="Y754" s="172" t="str">
        <f>IFERROR(VLOOKUP(X754,TD!$J$55:$K$68,2,0)," ")</f>
        <v>N/A</v>
      </c>
      <c r="Z754" s="180" t="str">
        <f>CONCATENATE(X754,"-",Y754)</f>
        <v>N/A-N/A</v>
      </c>
      <c r="AA754" s="174" t="s">
        <v>335</v>
      </c>
      <c r="AB754" s="172" t="str">
        <f>IFERROR(VLOOKUP(AA754,TD!$N$55:$O$70,2,0)," ")</f>
        <v>N/A</v>
      </c>
      <c r="AC754" s="180" t="str">
        <f>CONCATENATE(AA754,"_",AB754)</f>
        <v>N/A_N/A</v>
      </c>
      <c r="AD754" s="180" t="str">
        <f>CONCATENATE(Z754," ",AC754)</f>
        <v>N/A-N/A N/A_N/A</v>
      </c>
      <c r="AE754" s="179" t="str">
        <f>CONCATENATE(U754,V754,W754,X754,AA754)</f>
        <v>NANANAN/AN/A</v>
      </c>
      <c r="AF754" s="172" t="str">
        <f>IFERROR(VLOOKUP(AD754,TD!$J$70:$K$93,2,0)," ")</f>
        <v>N/A</v>
      </c>
      <c r="AG754" s="130" t="s">
        <v>345</v>
      </c>
      <c r="AH754" s="181" t="s">
        <v>193</v>
      </c>
      <c r="AI754" s="184" t="str">
        <f>CONCATENATE(PAA[[#This Row],[Id Interno]],"-",PAA[[#This Row],[tipo de Contrato (TH talento humano - B/S bienes y/o servicios)]],"-",S754,"-",T754,"-",PAA[[#This Row],[Objeto de la contratación]])</f>
        <v>20260766-BS-No a-li-Contratar el servicio de soporte y mantenimiento del sistema de gestión documental  para la U.A.E. Cuerpo Oficial de Bomberos de Bogotá- TIC</v>
      </c>
    </row>
    <row r="755" spans="2:35" ht="42" x14ac:dyDescent="0.35">
      <c r="B755" s="137">
        <v>20260767</v>
      </c>
      <c r="C755" s="117" t="s">
        <v>1055</v>
      </c>
      <c r="D755" s="125" t="s">
        <v>105</v>
      </c>
      <c r="E755" s="125" t="s">
        <v>363</v>
      </c>
      <c r="F755" s="125" t="s">
        <v>144</v>
      </c>
      <c r="G755" s="126" t="s">
        <v>379</v>
      </c>
      <c r="H755" s="132">
        <v>5</v>
      </c>
      <c r="I755" s="132">
        <v>9</v>
      </c>
      <c r="J755" s="127">
        <v>29150000</v>
      </c>
      <c r="K755" s="128" t="s">
        <v>398</v>
      </c>
      <c r="L755" s="176" t="s">
        <v>151</v>
      </c>
      <c r="M755" s="174" t="s">
        <v>401</v>
      </c>
      <c r="N755" s="125" t="s">
        <v>197</v>
      </c>
      <c r="O755" s="174" t="s">
        <v>886</v>
      </c>
      <c r="P755" s="174" t="s">
        <v>348</v>
      </c>
      <c r="Q755" s="129">
        <v>80111600</v>
      </c>
      <c r="R755" s="174" t="s">
        <v>203</v>
      </c>
      <c r="S755" s="174" t="str">
        <f>MID(PAA[[#This Row],[Meta Proyecto de Inversión]],1,4)</f>
        <v>8126</v>
      </c>
      <c r="T755" s="174" t="str">
        <f>MID(PAA[[#This Row],[Meta Proyecto de Inversión]],6,2)</f>
        <v>4-</v>
      </c>
      <c r="U755" s="179" t="str">
        <f>IFERROR(VLOOKUP(N755,TD!$B$54:$F$58,2,0)," ")</f>
        <v>O230117</v>
      </c>
      <c r="V755" s="179" t="str">
        <f>IFERROR(VLOOKUP(N755,TD!$B$54:$F$58,3,0)," ")</f>
        <v>4599</v>
      </c>
      <c r="W755" s="179">
        <f>IFERROR(VLOOKUP(N755,TD!$B$54:$F$58,4,0)," ")</f>
        <v>20240207</v>
      </c>
      <c r="X755" s="174" t="s">
        <v>168</v>
      </c>
      <c r="Y755" s="172" t="str">
        <f>IFERROR(VLOOKUP(X755,TD!$J$55:$K$68,2,0)," ")</f>
        <v>Infraestructura Tecnológica   (Sistemas de Información y Tecnologia)</v>
      </c>
      <c r="Z755" s="180" t="str">
        <f>CONCATENATE(X755,"-",Y755)</f>
        <v>11-Infraestructura Tecnológica   (Sistemas de Información y Tecnologia)</v>
      </c>
      <c r="AA755" s="174" t="s">
        <v>228</v>
      </c>
      <c r="AB755" s="172" t="str">
        <f>IFERROR(VLOOKUP(AA755,TD!$N$55:$O$70,2,0)," ")</f>
        <v>Servicios tecnológicos</v>
      </c>
      <c r="AC755" s="180" t="str">
        <f>CONCATENATE(AA755,"_",AB755)</f>
        <v>007_Servicios tecnológicos</v>
      </c>
      <c r="AD755" s="180" t="str">
        <f>CONCATENATE(Z755," ",AC755)</f>
        <v>11-Infraestructura Tecnológica   (Sistemas de Información y Tecnologia) 007_Servicios tecnológicos</v>
      </c>
      <c r="AE755" s="179" t="str">
        <f>CONCATENATE(U755,V755,W755,X755,AA755)</f>
        <v>O23011745992024020711007</v>
      </c>
      <c r="AF755" s="172" t="str">
        <f>IFERROR(VLOOKUP(AD755,TD!$J$70:$K$93,2,0)," ")</f>
        <v>PM/0131/0111/45990070207</v>
      </c>
      <c r="AG755" s="130" t="s">
        <v>385</v>
      </c>
      <c r="AH755" s="181" t="s">
        <v>193</v>
      </c>
      <c r="AI755" s="184" t="str">
        <f>CONCATENATE(PAA[[#This Row],[Id Interno]],"-",PAA[[#This Row],[tipo de Contrato (TH talento humano - B/S bienes y/o servicios)]],"-",S755,"-",T755,"-",PAA[[#This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56" spans="2:35" ht="84" x14ac:dyDescent="0.35">
      <c r="B756" s="137">
        <v>20260768</v>
      </c>
      <c r="C756" s="117" t="s">
        <v>1056</v>
      </c>
      <c r="D756" s="125" t="s">
        <v>105</v>
      </c>
      <c r="E756" s="125" t="s">
        <v>363</v>
      </c>
      <c r="F756" s="125" t="s">
        <v>144</v>
      </c>
      <c r="G756" s="126" t="s">
        <v>379</v>
      </c>
      <c r="H756" s="132">
        <v>6</v>
      </c>
      <c r="I756" s="132">
        <v>22</v>
      </c>
      <c r="J756" s="127">
        <v>54466667</v>
      </c>
      <c r="K756" s="128" t="s">
        <v>398</v>
      </c>
      <c r="L756" s="176" t="s">
        <v>151</v>
      </c>
      <c r="M756" s="174" t="s">
        <v>401</v>
      </c>
      <c r="N756" s="125" t="s">
        <v>197</v>
      </c>
      <c r="O756" s="174" t="s">
        <v>886</v>
      </c>
      <c r="P756" s="174" t="s">
        <v>348</v>
      </c>
      <c r="Q756" s="129">
        <v>80111600</v>
      </c>
      <c r="R756" s="174" t="s">
        <v>203</v>
      </c>
      <c r="S756" s="174" t="str">
        <f>MID(PAA[[#This Row],[Meta Proyecto de Inversión]],1,4)</f>
        <v>8126</v>
      </c>
      <c r="T756" s="174" t="str">
        <f>MID(PAA[[#This Row],[Meta Proyecto de Inversión]],6,2)</f>
        <v>4-</v>
      </c>
      <c r="U756" s="179" t="str">
        <f>IFERROR(VLOOKUP(N756,TD!$B$54:$F$58,2,0)," ")</f>
        <v>O230117</v>
      </c>
      <c r="V756" s="179" t="str">
        <f>IFERROR(VLOOKUP(N756,TD!$B$54:$F$58,3,0)," ")</f>
        <v>4599</v>
      </c>
      <c r="W756" s="179">
        <f>IFERROR(VLOOKUP(N756,TD!$B$54:$F$58,4,0)," ")</f>
        <v>20240207</v>
      </c>
      <c r="X756" s="174" t="s">
        <v>168</v>
      </c>
      <c r="Y756" s="172" t="str">
        <f>IFERROR(VLOOKUP(X756,TD!$J$55:$K$68,2,0)," ")</f>
        <v>Infraestructura Tecnológica   (Sistemas de Información y Tecnologia)</v>
      </c>
      <c r="Z756" s="180" t="str">
        <f>CONCATENATE(X756,"-",Y756)</f>
        <v>11-Infraestructura Tecnológica   (Sistemas de Información y Tecnologia)</v>
      </c>
      <c r="AA756" s="174" t="s">
        <v>228</v>
      </c>
      <c r="AB756" s="172" t="str">
        <f>IFERROR(VLOOKUP(AA756,TD!$N$55:$O$70,2,0)," ")</f>
        <v>Servicios tecnológicos</v>
      </c>
      <c r="AC756" s="180" t="str">
        <f>CONCATENATE(AA756,"_",AB756)</f>
        <v>007_Servicios tecnológicos</v>
      </c>
      <c r="AD756" s="180" t="str">
        <f>CONCATENATE(Z756," ",AC756)</f>
        <v>11-Infraestructura Tecnológica   (Sistemas de Información y Tecnologia) 007_Servicios tecnológicos</v>
      </c>
      <c r="AE756" s="179" t="str">
        <f>CONCATENATE(U756,V756,W756,X756,AA756)</f>
        <v>O23011745992024020711007</v>
      </c>
      <c r="AF756" s="172" t="str">
        <f>IFERROR(VLOOKUP(AD756,TD!$J$70:$K$93,2,0)," ")</f>
        <v>PM/0131/0111/45990070207</v>
      </c>
      <c r="AG756" s="130" t="s">
        <v>385</v>
      </c>
      <c r="AH756" s="181" t="s">
        <v>193</v>
      </c>
      <c r="AI756" s="184" t="str">
        <f>CONCATENATE(PAA[[#This Row],[Id Interno]],"-",PAA[[#This Row],[tipo de Contrato (TH talento humano - B/S bienes y/o servicios)]],"-",S756,"-",T756,"-",PAA[[#This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57" spans="2:35" ht="70" x14ac:dyDescent="0.35">
      <c r="B757" s="137">
        <v>20260770</v>
      </c>
      <c r="C757" s="117" t="s">
        <v>1057</v>
      </c>
      <c r="D757" s="125" t="s">
        <v>105</v>
      </c>
      <c r="E757" s="125" t="s">
        <v>363</v>
      </c>
      <c r="F757" s="125" t="s">
        <v>144</v>
      </c>
      <c r="G757" s="126" t="s">
        <v>380</v>
      </c>
      <c r="H757" s="132">
        <v>3</v>
      </c>
      <c r="I757" s="132">
        <v>0</v>
      </c>
      <c r="J757" s="127">
        <v>21000000</v>
      </c>
      <c r="K757" s="128" t="s">
        <v>398</v>
      </c>
      <c r="L757" s="176" t="s">
        <v>151</v>
      </c>
      <c r="M757" s="174" t="s">
        <v>401</v>
      </c>
      <c r="N757" s="125" t="s">
        <v>197</v>
      </c>
      <c r="O757" s="174" t="s">
        <v>886</v>
      </c>
      <c r="P757" s="174" t="s">
        <v>348</v>
      </c>
      <c r="Q757" s="129">
        <v>80111600</v>
      </c>
      <c r="R757" s="174" t="s">
        <v>203</v>
      </c>
      <c r="S757" s="174" t="str">
        <f>MID(PAA[[#This Row],[Meta Proyecto de Inversión]],1,4)</f>
        <v>8126</v>
      </c>
      <c r="T757" s="174" t="str">
        <f>MID(PAA[[#This Row],[Meta Proyecto de Inversión]],6,2)</f>
        <v>4-</v>
      </c>
      <c r="U757" s="179" t="str">
        <f>IFERROR(VLOOKUP(N757,TD!$B$54:$F$58,2,0)," ")</f>
        <v>O230117</v>
      </c>
      <c r="V757" s="179" t="str">
        <f>IFERROR(VLOOKUP(N757,TD!$B$54:$F$58,3,0)," ")</f>
        <v>4599</v>
      </c>
      <c r="W757" s="179">
        <f>IFERROR(VLOOKUP(N757,TD!$B$54:$F$58,4,0)," ")</f>
        <v>20240207</v>
      </c>
      <c r="X757" s="174" t="s">
        <v>168</v>
      </c>
      <c r="Y757" s="172" t="str">
        <f>IFERROR(VLOOKUP(X757,TD!$J$55:$K$68,2,0)," ")</f>
        <v>Infraestructura Tecnológica   (Sistemas de Información y Tecnologia)</v>
      </c>
      <c r="Z757" s="180" t="str">
        <f>CONCATENATE(X757,"-",Y757)</f>
        <v>11-Infraestructura Tecnológica   (Sistemas de Información y Tecnologia)</v>
      </c>
      <c r="AA757" s="174" t="s">
        <v>228</v>
      </c>
      <c r="AB757" s="172" t="str">
        <f>IFERROR(VLOOKUP(AA757,TD!$N$55:$O$70,2,0)," ")</f>
        <v>Servicios tecnológicos</v>
      </c>
      <c r="AC757" s="180" t="str">
        <f>CONCATENATE(AA757,"_",AB757)</f>
        <v>007_Servicios tecnológicos</v>
      </c>
      <c r="AD757" s="180" t="str">
        <f>CONCATENATE(Z757," ",AC757)</f>
        <v>11-Infraestructura Tecnológica   (Sistemas de Información y Tecnologia) 007_Servicios tecnológicos</v>
      </c>
      <c r="AE757" s="179" t="str">
        <f>CONCATENATE(U757,V757,W757,X757,AA757)</f>
        <v>O23011745992024020711007</v>
      </c>
      <c r="AF757" s="172" t="str">
        <f>IFERROR(VLOOKUP(AD757,TD!$J$70:$K$93,2,0)," ")</f>
        <v>PM/0131/0111/45990070207</v>
      </c>
      <c r="AG757" s="130" t="s">
        <v>385</v>
      </c>
      <c r="AH757" s="181" t="s">
        <v>194</v>
      </c>
      <c r="AI757" s="184" t="str">
        <f>CONCATENATE(PAA[[#This Row],[Id Interno]],"-",PAA[[#This Row],[tipo de Contrato (TH talento humano - B/S bienes y/o servicios)]],"-",S757,"-",T757,"-",PAA[[#This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58" spans="2:35" ht="98" x14ac:dyDescent="0.35">
      <c r="B758" s="137">
        <v>20260771</v>
      </c>
      <c r="C758" s="117" t="s">
        <v>1058</v>
      </c>
      <c r="D758" s="125" t="s">
        <v>105</v>
      </c>
      <c r="E758" s="125" t="s">
        <v>363</v>
      </c>
      <c r="F758" s="125" t="s">
        <v>145</v>
      </c>
      <c r="G758" s="126" t="s">
        <v>379</v>
      </c>
      <c r="H758" s="132">
        <v>5</v>
      </c>
      <c r="I758" s="132">
        <v>15</v>
      </c>
      <c r="J758" s="127">
        <v>24695000</v>
      </c>
      <c r="K758" s="128" t="s">
        <v>398</v>
      </c>
      <c r="L758" s="176" t="s">
        <v>151</v>
      </c>
      <c r="M758" s="174" t="s">
        <v>401</v>
      </c>
      <c r="N758" s="125" t="s">
        <v>197</v>
      </c>
      <c r="O758" s="174" t="s">
        <v>886</v>
      </c>
      <c r="P758" s="174" t="s">
        <v>348</v>
      </c>
      <c r="Q758" s="129">
        <v>80111600</v>
      </c>
      <c r="R758" s="174" t="s">
        <v>203</v>
      </c>
      <c r="S758" s="174" t="str">
        <f>MID(PAA[[#This Row],[Meta Proyecto de Inversión]],1,4)</f>
        <v>8126</v>
      </c>
      <c r="T758" s="174" t="str">
        <f>MID(PAA[[#This Row],[Meta Proyecto de Inversión]],6,2)</f>
        <v>4-</v>
      </c>
      <c r="U758" s="179" t="str">
        <f>IFERROR(VLOOKUP(N758,TD!$B$54:$F$58,2,0)," ")</f>
        <v>O230117</v>
      </c>
      <c r="V758" s="179" t="str">
        <f>IFERROR(VLOOKUP(N758,TD!$B$54:$F$58,3,0)," ")</f>
        <v>4599</v>
      </c>
      <c r="W758" s="179">
        <f>IFERROR(VLOOKUP(N758,TD!$B$54:$F$58,4,0)," ")</f>
        <v>20240207</v>
      </c>
      <c r="X758" s="174" t="s">
        <v>168</v>
      </c>
      <c r="Y758" s="172" t="str">
        <f>IFERROR(VLOOKUP(X758,TD!$J$55:$K$68,2,0)," ")</f>
        <v>Infraestructura Tecnológica   (Sistemas de Información y Tecnologia)</v>
      </c>
      <c r="Z758" s="180" t="str">
        <f>CONCATENATE(X758,"-",Y758)</f>
        <v>11-Infraestructura Tecnológica   (Sistemas de Información y Tecnologia)</v>
      </c>
      <c r="AA758" s="174" t="s">
        <v>228</v>
      </c>
      <c r="AB758" s="172" t="str">
        <f>IFERROR(VLOOKUP(AA758,TD!$N$55:$O$70,2,0)," ")</f>
        <v>Servicios tecnológicos</v>
      </c>
      <c r="AC758" s="180" t="str">
        <f>CONCATENATE(AA758,"_",AB758)</f>
        <v>007_Servicios tecnológicos</v>
      </c>
      <c r="AD758" s="180" t="str">
        <f>CONCATENATE(Z758," ",AC758)</f>
        <v>11-Infraestructura Tecnológica   (Sistemas de Información y Tecnologia) 007_Servicios tecnológicos</v>
      </c>
      <c r="AE758" s="179" t="str">
        <f>CONCATENATE(U758,V758,W758,X758,AA758)</f>
        <v>O23011745992024020711007</v>
      </c>
      <c r="AF758" s="172" t="str">
        <f>IFERROR(VLOOKUP(AD758,TD!$J$70:$K$93,2,0)," ")</f>
        <v>PM/0131/0111/45990070207</v>
      </c>
      <c r="AG758" s="130" t="s">
        <v>385</v>
      </c>
      <c r="AH758" s="181" t="s">
        <v>193</v>
      </c>
      <c r="AI758" s="184" t="str">
        <f>CONCATENATE(PAA[[#This Row],[Id Interno]],"-",PAA[[#This Row],[tipo de Contrato (TH talento humano - B/S bienes y/o servicios)]],"-",S758,"-",T758,"-",PAA[[#This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59" spans="2:35" ht="70" x14ac:dyDescent="0.35">
      <c r="B759" s="137">
        <v>20260772</v>
      </c>
      <c r="C759" s="117" t="s">
        <v>1059</v>
      </c>
      <c r="D759" s="125" t="s">
        <v>105</v>
      </c>
      <c r="E759" s="125" t="s">
        <v>363</v>
      </c>
      <c r="F759" s="125" t="s">
        <v>144</v>
      </c>
      <c r="G759" s="126" t="s">
        <v>380</v>
      </c>
      <c r="H759" s="132">
        <v>3</v>
      </c>
      <c r="I759" s="132">
        <v>0</v>
      </c>
      <c r="J759" s="127">
        <v>15000000</v>
      </c>
      <c r="K759" s="128" t="s">
        <v>398</v>
      </c>
      <c r="L759" s="176" t="s">
        <v>151</v>
      </c>
      <c r="M759" s="174" t="s">
        <v>401</v>
      </c>
      <c r="N759" s="125" t="s">
        <v>197</v>
      </c>
      <c r="O759" s="174" t="s">
        <v>886</v>
      </c>
      <c r="P759" s="174" t="s">
        <v>348</v>
      </c>
      <c r="Q759" s="129">
        <v>80111600</v>
      </c>
      <c r="R759" s="174" t="s">
        <v>203</v>
      </c>
      <c r="S759" s="174" t="str">
        <f>MID(PAA[[#This Row],[Meta Proyecto de Inversión]],1,4)</f>
        <v>8126</v>
      </c>
      <c r="T759" s="174" t="str">
        <f>MID(PAA[[#This Row],[Meta Proyecto de Inversión]],6,2)</f>
        <v>4-</v>
      </c>
      <c r="U759" s="179" t="str">
        <f>IFERROR(VLOOKUP(N759,TD!$B$54:$F$58,2,0)," ")</f>
        <v>O230117</v>
      </c>
      <c r="V759" s="179" t="str">
        <f>IFERROR(VLOOKUP(N759,TD!$B$54:$F$58,3,0)," ")</f>
        <v>4599</v>
      </c>
      <c r="W759" s="179">
        <f>IFERROR(VLOOKUP(N759,TD!$B$54:$F$58,4,0)," ")</f>
        <v>20240207</v>
      </c>
      <c r="X759" s="174" t="s">
        <v>168</v>
      </c>
      <c r="Y759" s="172" t="str">
        <f>IFERROR(VLOOKUP(X759,TD!$J$55:$K$68,2,0)," ")</f>
        <v>Infraestructura Tecnológica   (Sistemas de Información y Tecnologia)</v>
      </c>
      <c r="Z759" s="180" t="str">
        <f>CONCATENATE(X759,"-",Y759)</f>
        <v>11-Infraestructura Tecnológica   (Sistemas de Información y Tecnologia)</v>
      </c>
      <c r="AA759" s="174" t="s">
        <v>228</v>
      </c>
      <c r="AB759" s="172" t="str">
        <f>IFERROR(VLOOKUP(AA759,TD!$N$55:$O$70,2,0)," ")</f>
        <v>Servicios tecnológicos</v>
      </c>
      <c r="AC759" s="180" t="str">
        <f>CONCATENATE(AA759,"_",AB759)</f>
        <v>007_Servicios tecnológicos</v>
      </c>
      <c r="AD759" s="180" t="str">
        <f>CONCATENATE(Z759," ",AC759)</f>
        <v>11-Infraestructura Tecnológica   (Sistemas de Información y Tecnologia) 007_Servicios tecnológicos</v>
      </c>
      <c r="AE759" s="179" t="str">
        <f>CONCATENATE(U759,V759,W759,X759,AA759)</f>
        <v>O23011745992024020711007</v>
      </c>
      <c r="AF759" s="172" t="str">
        <f>IFERROR(VLOOKUP(AD759,TD!$J$70:$K$93,2,0)," ")</f>
        <v>PM/0131/0111/45990070207</v>
      </c>
      <c r="AG759" s="130" t="s">
        <v>385</v>
      </c>
      <c r="AH759" s="181" t="s">
        <v>194</v>
      </c>
      <c r="AI759" s="184" t="str">
        <f>CONCATENATE(PAA[[#This Row],[Id Interno]],"-",PAA[[#This Row],[tipo de Contrato (TH talento humano - B/S bienes y/o servicios)]],"-",S759,"-",T759,"-",PAA[[#This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60" spans="2:35" ht="70" x14ac:dyDescent="0.35">
      <c r="B760" s="137">
        <v>20260774</v>
      </c>
      <c r="C760" s="117" t="s">
        <v>1060</v>
      </c>
      <c r="D760" s="125" t="s">
        <v>105</v>
      </c>
      <c r="E760" s="125" t="s">
        <v>363</v>
      </c>
      <c r="F760" s="125" t="s">
        <v>145</v>
      </c>
      <c r="G760" s="126" t="s">
        <v>380</v>
      </c>
      <c r="H760" s="132">
        <v>4</v>
      </c>
      <c r="I760" s="132">
        <v>22</v>
      </c>
      <c r="J760" s="127">
        <v>18933333</v>
      </c>
      <c r="K760" s="128" t="s">
        <v>398</v>
      </c>
      <c r="L760" s="176" t="s">
        <v>151</v>
      </c>
      <c r="M760" s="174" t="s">
        <v>401</v>
      </c>
      <c r="N760" s="125" t="s">
        <v>197</v>
      </c>
      <c r="O760" s="174" t="s">
        <v>886</v>
      </c>
      <c r="P760" s="174" t="s">
        <v>348</v>
      </c>
      <c r="Q760" s="129">
        <v>80111600</v>
      </c>
      <c r="R760" s="174" t="s">
        <v>204</v>
      </c>
      <c r="S760" s="174" t="str">
        <f>MID(PAA[[#This Row],[Meta Proyecto de Inversión]],1,4)</f>
        <v>8126</v>
      </c>
      <c r="T760" s="174" t="str">
        <f>MID(PAA[[#This Row],[Meta Proyecto de Inversión]],6,2)</f>
        <v>5-</v>
      </c>
      <c r="U760" s="179" t="str">
        <f>IFERROR(VLOOKUP(N760,TD!$B$54:$F$58,2,0)," ")</f>
        <v>O230117</v>
      </c>
      <c r="V760" s="179" t="str">
        <f>IFERROR(VLOOKUP(N760,TD!$B$54:$F$58,3,0)," ")</f>
        <v>4599</v>
      </c>
      <c r="W760" s="179">
        <f>IFERROR(VLOOKUP(N760,TD!$B$54:$F$58,4,0)," ")</f>
        <v>20240207</v>
      </c>
      <c r="X760" s="174" t="s">
        <v>168</v>
      </c>
      <c r="Y760" s="172" t="str">
        <f>IFERROR(VLOOKUP(X760,TD!$J$55:$K$68,2,0)," ")</f>
        <v>Infraestructura Tecnológica   (Sistemas de Información y Tecnologia)</v>
      </c>
      <c r="Z760" s="180" t="str">
        <f>CONCATENATE(X760,"-",Y760)</f>
        <v>11-Infraestructura Tecnológica   (Sistemas de Información y Tecnologia)</v>
      </c>
      <c r="AA760" s="174" t="s">
        <v>228</v>
      </c>
      <c r="AB760" s="172" t="str">
        <f>IFERROR(VLOOKUP(AA760,TD!$N$55:$O$70,2,0)," ")</f>
        <v>Servicios tecnológicos</v>
      </c>
      <c r="AC760" s="180" t="str">
        <f>CONCATENATE(AA760,"_",AB760)</f>
        <v>007_Servicios tecnológicos</v>
      </c>
      <c r="AD760" s="180" t="str">
        <f>CONCATENATE(Z760," ",AC760)</f>
        <v>11-Infraestructura Tecnológica   (Sistemas de Información y Tecnologia) 007_Servicios tecnológicos</v>
      </c>
      <c r="AE760" s="179" t="str">
        <f>CONCATENATE(U760,V760,W760,X760,AA760)</f>
        <v>O23011745992024020711007</v>
      </c>
      <c r="AF760" s="172" t="str">
        <f>IFERROR(VLOOKUP(AD760,TD!$J$70:$K$93,2,0)," ")</f>
        <v>PM/0131/0111/45990070207</v>
      </c>
      <c r="AG760" s="130" t="s">
        <v>385</v>
      </c>
      <c r="AH760" s="181" t="s">
        <v>193</v>
      </c>
      <c r="AI760" s="184" t="str">
        <f>CONCATENATE(PAA[[#This Row],[Id Interno]],"-",PAA[[#This Row],[tipo de Contrato (TH talento humano - B/S bienes y/o servicios)]],"-",S760,"-",T760,"-",PAA[[#This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61" spans="2:35" ht="70" x14ac:dyDescent="0.35">
      <c r="B761" s="137">
        <v>20260778</v>
      </c>
      <c r="C761" s="117" t="s">
        <v>1061</v>
      </c>
      <c r="D761" s="125" t="s">
        <v>105</v>
      </c>
      <c r="E761" s="125" t="s">
        <v>363</v>
      </c>
      <c r="F761" s="125" t="s">
        <v>144</v>
      </c>
      <c r="G761" s="126" t="s">
        <v>384</v>
      </c>
      <c r="H761" s="132">
        <v>0</v>
      </c>
      <c r="I761" s="132">
        <v>25</v>
      </c>
      <c r="J761" s="127">
        <v>4583333</v>
      </c>
      <c r="K761" s="128" t="s">
        <v>398</v>
      </c>
      <c r="L761" s="176" t="s">
        <v>151</v>
      </c>
      <c r="M761" s="174" t="s">
        <v>401</v>
      </c>
      <c r="N761" s="125" t="s">
        <v>197</v>
      </c>
      <c r="O761" s="174" t="s">
        <v>886</v>
      </c>
      <c r="P761" s="174" t="s">
        <v>348</v>
      </c>
      <c r="Q761" s="129">
        <v>80111600</v>
      </c>
      <c r="R761" s="174" t="s">
        <v>206</v>
      </c>
      <c r="S761" s="174" t="str">
        <f>MID(PAA[[#This Row],[Meta Proyecto de Inversión]],1,4)</f>
        <v>8126</v>
      </c>
      <c r="T761" s="174" t="str">
        <f>MID(PAA[[#This Row],[Meta Proyecto de Inversión]],6,2)</f>
        <v>7-</v>
      </c>
      <c r="U761" s="179" t="str">
        <f>IFERROR(VLOOKUP(N761,TD!$B$54:$F$58,2,0)," ")</f>
        <v>O230117</v>
      </c>
      <c r="V761" s="179" t="str">
        <f>IFERROR(VLOOKUP(N761,TD!$B$54:$F$58,3,0)," ")</f>
        <v>4599</v>
      </c>
      <c r="W761" s="179">
        <f>IFERROR(VLOOKUP(N761,TD!$B$54:$F$58,4,0)," ")</f>
        <v>20240207</v>
      </c>
      <c r="X761" s="174" t="s">
        <v>168</v>
      </c>
      <c r="Y761" s="172" t="str">
        <f>IFERROR(VLOOKUP(X761,TD!$J$55:$K$68,2,0)," ")</f>
        <v>Infraestructura Tecnológica   (Sistemas de Información y Tecnologia)</v>
      </c>
      <c r="Z761" s="180" t="str">
        <f>CONCATENATE(X761,"-",Y761)</f>
        <v>11-Infraestructura Tecnológica   (Sistemas de Información y Tecnologia)</v>
      </c>
      <c r="AA761" s="174" t="s">
        <v>228</v>
      </c>
      <c r="AB761" s="172" t="str">
        <f>IFERROR(VLOOKUP(AA761,TD!$N$55:$O$70,2,0)," ")</f>
        <v>Servicios tecnológicos</v>
      </c>
      <c r="AC761" s="180" t="str">
        <f>CONCATENATE(AA761,"_",AB761)</f>
        <v>007_Servicios tecnológicos</v>
      </c>
      <c r="AD761" s="180" t="str">
        <f>CONCATENATE(Z761," ",AC761)</f>
        <v>11-Infraestructura Tecnológica   (Sistemas de Información y Tecnologia) 007_Servicios tecnológicos</v>
      </c>
      <c r="AE761" s="179" t="str">
        <f>CONCATENATE(U761,V761,W761,X761,AA761)</f>
        <v>O23011745992024020711007</v>
      </c>
      <c r="AF761" s="172" t="str">
        <f>IFERROR(VLOOKUP(AD761,TD!$J$70:$K$93,2,0)," ")</f>
        <v>PM/0131/0111/45990070207</v>
      </c>
      <c r="AG761" s="130" t="s">
        <v>385</v>
      </c>
      <c r="AH761" s="181" t="s">
        <v>194</v>
      </c>
      <c r="AI761" s="184" t="str">
        <f>CONCATENATE(PAA[[#This Row],[Id Interno]],"-",PAA[[#This Row],[tipo de Contrato (TH talento humano - B/S bienes y/o servicios)]],"-",S761,"-",T761,"-",PAA[[#This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62" spans="2:35" ht="84" x14ac:dyDescent="0.35">
      <c r="B762" s="137">
        <v>20260782</v>
      </c>
      <c r="C762" s="117" t="s">
        <v>1062</v>
      </c>
      <c r="D762" s="125" t="s">
        <v>105</v>
      </c>
      <c r="E762" s="125" t="s">
        <v>363</v>
      </c>
      <c r="F762" s="125" t="s">
        <v>144</v>
      </c>
      <c r="G762" s="126" t="s">
        <v>384</v>
      </c>
      <c r="H762" s="132">
        <v>0</v>
      </c>
      <c r="I762" s="132">
        <v>22</v>
      </c>
      <c r="J762" s="127">
        <v>5720000</v>
      </c>
      <c r="K762" s="128" t="s">
        <v>398</v>
      </c>
      <c r="L762" s="176" t="s">
        <v>151</v>
      </c>
      <c r="M762" s="174" t="s">
        <v>401</v>
      </c>
      <c r="N762" s="125" t="s">
        <v>197</v>
      </c>
      <c r="O762" s="174" t="s">
        <v>886</v>
      </c>
      <c r="P762" s="174" t="s">
        <v>348</v>
      </c>
      <c r="Q762" s="129">
        <v>80111600</v>
      </c>
      <c r="R762" s="174" t="s">
        <v>206</v>
      </c>
      <c r="S762" s="174" t="str">
        <f>MID(PAA[[#This Row],[Meta Proyecto de Inversión]],1,4)</f>
        <v>8126</v>
      </c>
      <c r="T762" s="174" t="str">
        <f>MID(PAA[[#This Row],[Meta Proyecto de Inversión]],6,2)</f>
        <v>7-</v>
      </c>
      <c r="U762" s="179" t="str">
        <f>IFERROR(VLOOKUP(N762,TD!$B$54:$F$58,2,0)," ")</f>
        <v>O230117</v>
      </c>
      <c r="V762" s="179" t="str">
        <f>IFERROR(VLOOKUP(N762,TD!$B$54:$F$58,3,0)," ")</f>
        <v>4599</v>
      </c>
      <c r="W762" s="179">
        <f>IFERROR(VLOOKUP(N762,TD!$B$54:$F$58,4,0)," ")</f>
        <v>20240207</v>
      </c>
      <c r="X762" s="174" t="s">
        <v>168</v>
      </c>
      <c r="Y762" s="172" t="str">
        <f>IFERROR(VLOOKUP(X762,TD!$J$55:$K$68,2,0)," ")</f>
        <v>Infraestructura Tecnológica   (Sistemas de Información y Tecnologia)</v>
      </c>
      <c r="Z762" s="180" t="str">
        <f>CONCATENATE(X762,"-",Y762)</f>
        <v>11-Infraestructura Tecnológica   (Sistemas de Información y Tecnologia)</v>
      </c>
      <c r="AA762" s="174" t="s">
        <v>228</v>
      </c>
      <c r="AB762" s="172" t="str">
        <f>IFERROR(VLOOKUP(AA762,TD!$N$55:$O$70,2,0)," ")</f>
        <v>Servicios tecnológicos</v>
      </c>
      <c r="AC762" s="180" t="str">
        <f>CONCATENATE(AA762,"_",AB762)</f>
        <v>007_Servicios tecnológicos</v>
      </c>
      <c r="AD762" s="180" t="str">
        <f>CONCATENATE(Z762," ",AC762)</f>
        <v>11-Infraestructura Tecnológica   (Sistemas de Información y Tecnologia) 007_Servicios tecnológicos</v>
      </c>
      <c r="AE762" s="179" t="str">
        <f>CONCATENATE(U762,V762,W762,X762,AA762)</f>
        <v>O23011745992024020711007</v>
      </c>
      <c r="AF762" s="172" t="str">
        <f>IFERROR(VLOOKUP(AD762,TD!$J$70:$K$93,2,0)," ")</f>
        <v>PM/0131/0111/45990070207</v>
      </c>
      <c r="AG762" s="130" t="s">
        <v>385</v>
      </c>
      <c r="AH762" s="181" t="s">
        <v>194</v>
      </c>
      <c r="AI762" s="184" t="str">
        <f>CONCATENATE(PAA[[#This Row],[Id Interno]],"-",PAA[[#This Row],[tipo de Contrato (TH talento humano - B/S bienes y/o servicios)]],"-",S762,"-",T762,"-",PAA[[#This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63" spans="2:35" ht="84" x14ac:dyDescent="0.35">
      <c r="B763" s="137">
        <v>20260783</v>
      </c>
      <c r="C763" s="117" t="s">
        <v>1063</v>
      </c>
      <c r="D763" s="125" t="s">
        <v>105</v>
      </c>
      <c r="E763" s="125" t="s">
        <v>363</v>
      </c>
      <c r="F763" s="125" t="s">
        <v>144</v>
      </c>
      <c r="G763" s="126" t="s">
        <v>383</v>
      </c>
      <c r="H763" s="132">
        <v>1</v>
      </c>
      <c r="I763" s="132">
        <v>5</v>
      </c>
      <c r="J763" s="127">
        <v>6021167</v>
      </c>
      <c r="K763" s="128" t="s">
        <v>398</v>
      </c>
      <c r="L763" s="176" t="s">
        <v>151</v>
      </c>
      <c r="M763" s="174" t="s">
        <v>401</v>
      </c>
      <c r="N763" s="125" t="s">
        <v>197</v>
      </c>
      <c r="O763" s="174" t="s">
        <v>886</v>
      </c>
      <c r="P763" s="174" t="s">
        <v>348</v>
      </c>
      <c r="Q763" s="129">
        <v>80111600</v>
      </c>
      <c r="R763" s="174" t="s">
        <v>203</v>
      </c>
      <c r="S763" s="174" t="str">
        <f>MID(PAA[[#This Row],[Meta Proyecto de Inversión]],1,4)</f>
        <v>8126</v>
      </c>
      <c r="T763" s="174" t="str">
        <f>MID(PAA[[#This Row],[Meta Proyecto de Inversión]],6,2)</f>
        <v>4-</v>
      </c>
      <c r="U763" s="179" t="str">
        <f>IFERROR(VLOOKUP(N763,TD!$B$54:$F$58,2,0)," ")</f>
        <v>O230117</v>
      </c>
      <c r="V763" s="179" t="str">
        <f>IFERROR(VLOOKUP(N763,TD!$B$54:$F$58,3,0)," ")</f>
        <v>4599</v>
      </c>
      <c r="W763" s="179">
        <f>IFERROR(VLOOKUP(N763,TD!$B$54:$F$58,4,0)," ")</f>
        <v>20240207</v>
      </c>
      <c r="X763" s="174" t="s">
        <v>168</v>
      </c>
      <c r="Y763" s="172" t="str">
        <f>IFERROR(VLOOKUP(X763,TD!$J$55:$K$68,2,0)," ")</f>
        <v>Infraestructura Tecnológica   (Sistemas de Información y Tecnologia)</v>
      </c>
      <c r="Z763" s="180" t="str">
        <f>CONCATENATE(X763,"-",Y763)</f>
        <v>11-Infraestructura Tecnológica   (Sistemas de Información y Tecnologia)</v>
      </c>
      <c r="AA763" s="174" t="s">
        <v>228</v>
      </c>
      <c r="AB763" s="172" t="str">
        <f>IFERROR(VLOOKUP(AA763,TD!$N$55:$O$70,2,0)," ")</f>
        <v>Servicios tecnológicos</v>
      </c>
      <c r="AC763" s="180" t="str">
        <f>CONCATENATE(AA763,"_",AB763)</f>
        <v>007_Servicios tecnológicos</v>
      </c>
      <c r="AD763" s="180" t="str">
        <f>CONCATENATE(Z763," ",AC763)</f>
        <v>11-Infraestructura Tecnológica   (Sistemas de Información y Tecnologia) 007_Servicios tecnológicos</v>
      </c>
      <c r="AE763" s="179" t="str">
        <f>CONCATENATE(U763,V763,W763,X763,AA763)</f>
        <v>O23011745992024020711007</v>
      </c>
      <c r="AF763" s="172" t="str">
        <f>IFERROR(VLOOKUP(AD763,TD!$J$70:$K$93,2,0)," ")</f>
        <v>PM/0131/0111/45990070207</v>
      </c>
      <c r="AG763" s="130" t="s">
        <v>385</v>
      </c>
      <c r="AH763" s="181" t="s">
        <v>194</v>
      </c>
      <c r="AI763" s="184" t="str">
        <f>CONCATENATE(PAA[[#This Row],[Id Interno]],"-",PAA[[#This Row],[tipo de Contrato (TH talento humano - B/S bienes y/o servicios)]],"-",S763,"-",T763,"-",PAA[[#This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64" spans="2:35" ht="98" x14ac:dyDescent="0.35">
      <c r="B764" s="146">
        <v>20260785</v>
      </c>
      <c r="C764" s="117" t="s">
        <v>1066</v>
      </c>
      <c r="D764" s="117" t="s">
        <v>105</v>
      </c>
      <c r="E764" s="117" t="s">
        <v>363</v>
      </c>
      <c r="F764" s="117" t="s">
        <v>144</v>
      </c>
      <c r="G764" s="126" t="s">
        <v>379</v>
      </c>
      <c r="H764" s="147">
        <v>5</v>
      </c>
      <c r="I764" s="147">
        <v>4</v>
      </c>
      <c r="J764" s="130">
        <v>30800000</v>
      </c>
      <c r="K764" s="148" t="s">
        <v>398</v>
      </c>
      <c r="L764" s="177" t="s">
        <v>151</v>
      </c>
      <c r="M764" s="186" t="s">
        <v>401</v>
      </c>
      <c r="N764" s="117" t="s">
        <v>197</v>
      </c>
      <c r="O764" s="186" t="s">
        <v>886</v>
      </c>
      <c r="P764" s="186" t="s">
        <v>348</v>
      </c>
      <c r="Q764" s="149">
        <v>80111600</v>
      </c>
      <c r="R764" s="186" t="s">
        <v>206</v>
      </c>
      <c r="S764" s="186" t="str">
        <f>MID(PAA[[#This Row],[Meta Proyecto de Inversión]],1,4)</f>
        <v>8126</v>
      </c>
      <c r="T764" s="186" t="str">
        <f>MID(PAA[[#This Row],[Meta Proyecto de Inversión]],6,2)</f>
        <v>7-</v>
      </c>
      <c r="U764" s="187" t="str">
        <f>IFERROR(VLOOKUP(N764,TD!$B$54:$F$58,2,0)," ")</f>
        <v>O230117</v>
      </c>
      <c r="V764" s="187" t="str">
        <f>IFERROR(VLOOKUP(N764,TD!$B$54:$F$58,3,0)," ")</f>
        <v>4599</v>
      </c>
      <c r="W764" s="187">
        <f>IFERROR(VLOOKUP(N764,TD!$B$54:$F$58,4,0)," ")</f>
        <v>20240207</v>
      </c>
      <c r="X764" s="186" t="s">
        <v>168</v>
      </c>
      <c r="Y764" s="172" t="str">
        <f>IFERROR(VLOOKUP(X764,TD!$J$55:$K$68,2,0)," ")</f>
        <v>Infraestructura Tecnológica   (Sistemas de Información y Tecnologia)</v>
      </c>
      <c r="Z764" s="186" t="str">
        <f>CONCATENATE(X764,"-",Y764)</f>
        <v>11-Infraestructura Tecnológica   (Sistemas de Información y Tecnologia)</v>
      </c>
      <c r="AA764" s="186" t="s">
        <v>228</v>
      </c>
      <c r="AB764" s="172" t="str">
        <f>IFERROR(VLOOKUP(AA764,TD!$N$55:$O$70,2,0)," ")</f>
        <v>Servicios tecnológicos</v>
      </c>
      <c r="AC764" s="186" t="str">
        <f>CONCATENATE(AA764,"_",AB764)</f>
        <v>007_Servicios tecnológicos</v>
      </c>
      <c r="AD764" s="186" t="str">
        <f>CONCATENATE(Z764," ",AC764)</f>
        <v>11-Infraestructura Tecnológica   (Sistemas de Información y Tecnologia) 007_Servicios tecnológicos</v>
      </c>
      <c r="AE764" s="187" t="str">
        <f>CONCATENATE(U764,V764,W764,X764,AA764)</f>
        <v>O23011745992024020711007</v>
      </c>
      <c r="AF764" s="172" t="str">
        <f>IFERROR(VLOOKUP(AD764,TD!$J$70:$K$93,2,0)," ")</f>
        <v>PM/0131/0111/45990070207</v>
      </c>
      <c r="AG764" s="130" t="s">
        <v>385</v>
      </c>
      <c r="AH764" s="188" t="s">
        <v>193</v>
      </c>
      <c r="AI764" s="184" t="str">
        <f>CONCATENATE(PAA[[#This Row],[Id Interno]],"-",PAA[[#This Row],[tipo de Contrato (TH talento humano - B/S bienes y/o servicios)]],"-",S764,"-",T764,"-",PAA[[#This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65" spans="2:35" ht="56" x14ac:dyDescent="0.35">
      <c r="B765" s="146">
        <v>20260787</v>
      </c>
      <c r="C765" s="117" t="s">
        <v>1067</v>
      </c>
      <c r="D765" s="125" t="s">
        <v>105</v>
      </c>
      <c r="E765" s="125" t="s">
        <v>363</v>
      </c>
      <c r="F765" s="125" t="s">
        <v>144</v>
      </c>
      <c r="G765" s="126" t="s">
        <v>381</v>
      </c>
      <c r="H765" s="132">
        <v>3</v>
      </c>
      <c r="I765" s="132">
        <v>18</v>
      </c>
      <c r="J765" s="127">
        <v>24624000</v>
      </c>
      <c r="K765" s="128" t="s">
        <v>398</v>
      </c>
      <c r="L765" s="176" t="s">
        <v>153</v>
      </c>
      <c r="M765" s="174" t="s">
        <v>420</v>
      </c>
      <c r="N765" s="125" t="s">
        <v>197</v>
      </c>
      <c r="O765" s="174" t="s">
        <v>886</v>
      </c>
      <c r="P765" s="174" t="s">
        <v>348</v>
      </c>
      <c r="Q765" s="129">
        <v>80111600</v>
      </c>
      <c r="R765" s="174" t="s">
        <v>208</v>
      </c>
      <c r="S765" s="174" t="str">
        <f>MID(PAA[[#This Row],[Meta Proyecto de Inversión]],1,4)</f>
        <v>8126</v>
      </c>
      <c r="T765" s="174" t="str">
        <f>MID(PAA[[#This Row],[Meta Proyecto de Inversión]],6,2)</f>
        <v>9-</v>
      </c>
      <c r="U765" s="179" t="str">
        <f>IFERROR(VLOOKUP(N765,TD!$B$54:$F$58,2,0)," ")</f>
        <v>O230117</v>
      </c>
      <c r="V765" s="179" t="str">
        <f>IFERROR(VLOOKUP(N765,TD!$B$54:$F$58,3,0)," ")</f>
        <v>4599</v>
      </c>
      <c r="W765" s="179">
        <f>IFERROR(VLOOKUP(N765,TD!$B$54:$F$58,4,0)," ")</f>
        <v>20240207</v>
      </c>
      <c r="X765" s="174" t="s">
        <v>174</v>
      </c>
      <c r="Y765" s="172" t="str">
        <f>IFERROR(VLOOKUP(X765,TD!$J$55:$K$68,2,0)," ")</f>
        <v>Infraestructura física, mantenimiento y dotación (Sedes construidas, mantenidas reforzadas)</v>
      </c>
      <c r="Z765" s="180" t="str">
        <f>CONCATENATE(X765,"-",Y765)</f>
        <v>08-Infraestructura física, mantenimiento y dotación (Sedes construidas, mantenidas reforzadas)</v>
      </c>
      <c r="AA765" s="174" t="s">
        <v>227</v>
      </c>
      <c r="AB765" s="172" t="str">
        <f>IFERROR(VLOOKUP(AA765,TD!$N$55:$O$70,2,0)," ")</f>
        <v>Sedes mantenidas</v>
      </c>
      <c r="AC765" s="180" t="str">
        <f>CONCATENATE(AA765,"_",AB765)</f>
        <v>016_Sedes mantenidas</v>
      </c>
      <c r="AD765" s="180" t="str">
        <f>CONCATENATE(Z765," ",AC765)</f>
        <v>08-Infraestructura física, mantenimiento y dotación (Sedes construidas, mantenidas reforzadas) 016_Sedes mantenidas</v>
      </c>
      <c r="AE765" s="179" t="str">
        <f>CONCATENATE(U765,V765,W765,X765,AA765)</f>
        <v>O23011745992024020708016</v>
      </c>
      <c r="AF765" s="172" t="str">
        <f>IFERROR(VLOOKUP(AD765,TD!$J$70:$K$93,2,0)," ")</f>
        <v>PM/0131/0108/45990160207</v>
      </c>
      <c r="AG765" s="130" t="s">
        <v>385</v>
      </c>
      <c r="AH765" s="181" t="s">
        <v>194</v>
      </c>
      <c r="AI765" s="184" t="str">
        <f>CONCATENATE(PAA[[#This Row],[Id Interno]],"-",PAA[[#This Row],[tipo de Contrato (TH talento humano - B/S bienes y/o servicios)]],"-",S765,"-",T765,"-",PAA[[#This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66" spans="2:35" ht="56" x14ac:dyDescent="0.35">
      <c r="B766" s="146">
        <v>20260789</v>
      </c>
      <c r="C766" s="117" t="s">
        <v>1068</v>
      </c>
      <c r="D766" s="117" t="s">
        <v>105</v>
      </c>
      <c r="E766" s="117" t="s">
        <v>363</v>
      </c>
      <c r="F766" s="117" t="s">
        <v>144</v>
      </c>
      <c r="G766" s="126" t="s">
        <v>1069</v>
      </c>
      <c r="H766" s="147">
        <v>4</v>
      </c>
      <c r="I766" s="147">
        <v>0</v>
      </c>
      <c r="J766" s="130">
        <v>28000000</v>
      </c>
      <c r="K766" s="148" t="s">
        <v>398</v>
      </c>
      <c r="L766" s="177" t="s">
        <v>156</v>
      </c>
      <c r="M766" s="186" t="s">
        <v>484</v>
      </c>
      <c r="N766" s="117" t="s">
        <v>198</v>
      </c>
      <c r="O766" s="186" t="s">
        <v>887</v>
      </c>
      <c r="P766" s="186" t="s">
        <v>348</v>
      </c>
      <c r="Q766" s="149">
        <v>80111600</v>
      </c>
      <c r="R766" s="186" t="s">
        <v>210</v>
      </c>
      <c r="S766" s="174" t="str">
        <f>MID(PAA[[#This Row],[Meta Proyecto de Inversión]],1,4)</f>
        <v>8173</v>
      </c>
      <c r="T766" s="174" t="str">
        <f>MID(PAA[[#This Row],[Meta Proyecto de Inversión]],6,2)</f>
        <v>1-</v>
      </c>
      <c r="U766" s="187" t="str">
        <f>IFERROR(VLOOKUP(N766,TD!$B$54:$F$58,2,0)," ")</f>
        <v>O230117</v>
      </c>
      <c r="V766" s="187" t="str">
        <f>IFERROR(VLOOKUP(N766,TD!$B$54:$F$58,3,0)," ")</f>
        <v>4503</v>
      </c>
      <c r="W766" s="187">
        <f>IFERROR(VLOOKUP(N766,TD!$B$54:$F$58,4,0)," ")</f>
        <v>20240255</v>
      </c>
      <c r="X766" s="186" t="s">
        <v>166</v>
      </c>
      <c r="Y766" s="172" t="str">
        <f>IFERROR(VLOOKUP(X766,TD!$J$55:$K$68,2,0)," ")</f>
        <v>Servicio de capacitaciones en gestión del riesgo de incendios  a la ciudadania.</v>
      </c>
      <c r="Z766" s="180" t="str">
        <f>CONCATENATE(X766,"-",Y766)</f>
        <v>05-Servicio de capacitaciones en gestión del riesgo de incendios  a la ciudadania.</v>
      </c>
      <c r="AA766" s="186" t="s">
        <v>223</v>
      </c>
      <c r="AB766" s="172" t="str">
        <f>IFERROR(VLOOKUP(AA766,TD!$N$55:$O$70,2,0)," ")</f>
        <v>Servicio prevención y control de incendios</v>
      </c>
      <c r="AC766" s="180" t="str">
        <f>CONCATENATE(AA766,"_",AB766)</f>
        <v>035_Servicio prevención y control de incendios</v>
      </c>
      <c r="AD766" s="180" t="str">
        <f>CONCATENATE(Z766," ",AC766)</f>
        <v>05-Servicio de capacitaciones en gestión del riesgo de incendios  a la ciudadania. 035_Servicio prevención y control de incendios</v>
      </c>
      <c r="AE766" s="187" t="str">
        <f>CONCATENATE(U766,V766,W766,X766,AA766)</f>
        <v>O23011745032024025505035</v>
      </c>
      <c r="AF766" s="172" t="str">
        <f>IFERROR(VLOOKUP(AD766,TD!$J$70:$K$93,2,0)," ")</f>
        <v>PM/0131/0105/45030350255</v>
      </c>
      <c r="AG766" s="130" t="s">
        <v>385</v>
      </c>
      <c r="AH766" s="188" t="s">
        <v>194</v>
      </c>
      <c r="AI766" s="184" t="str">
        <f>CONCATENATE(PAA[[#This Row],[Id Interno]],"-",PAA[[#This Row],[tipo de Contrato (TH talento humano - B/S bienes y/o servicios)]],"-",S766,"-",T766,"-",PAA[[#This Row],[Objeto de la contratación]])</f>
        <v>20260789-TH-8173-1--Adicion y prorroga cto 032-2026 Prestar servicios profesionales para apoyar la planeación y gestión de las  estrategias de reducción y/o conocimiento del riesgo  para la Subdirección de Gestión del Riesgo._SGR</v>
      </c>
    </row>
    <row r="767" spans="2:35" ht="56" x14ac:dyDescent="0.35">
      <c r="B767" s="146">
        <v>20260790</v>
      </c>
      <c r="C767" s="117" t="s">
        <v>1070</v>
      </c>
      <c r="D767" s="117" t="s">
        <v>105</v>
      </c>
      <c r="E767" s="117" t="s">
        <v>363</v>
      </c>
      <c r="F767" s="117" t="s">
        <v>144</v>
      </c>
      <c r="G767" s="126" t="s">
        <v>381</v>
      </c>
      <c r="H767" s="147">
        <v>3</v>
      </c>
      <c r="I767" s="147">
        <v>0</v>
      </c>
      <c r="J767" s="130">
        <v>15000000</v>
      </c>
      <c r="K767" s="148" t="s">
        <v>398</v>
      </c>
      <c r="L767" s="177" t="s">
        <v>156</v>
      </c>
      <c r="M767" s="186" t="s">
        <v>484</v>
      </c>
      <c r="N767" s="117" t="s">
        <v>198</v>
      </c>
      <c r="O767" s="186" t="s">
        <v>887</v>
      </c>
      <c r="P767" s="186" t="s">
        <v>348</v>
      </c>
      <c r="Q767" s="149">
        <v>80111600</v>
      </c>
      <c r="R767" s="186" t="s">
        <v>210</v>
      </c>
      <c r="S767" s="174" t="str">
        <f>MID(PAA[[#This Row],[Meta Proyecto de Inversión]],1,4)</f>
        <v>8173</v>
      </c>
      <c r="T767" s="174" t="str">
        <f>MID(PAA[[#This Row],[Meta Proyecto de Inversión]],6,2)</f>
        <v>1-</v>
      </c>
      <c r="U767" s="187" t="str">
        <f>IFERROR(VLOOKUP(N767,TD!$B$54:$F$58,2,0)," ")</f>
        <v>O230117</v>
      </c>
      <c r="V767" s="187" t="str">
        <f>IFERROR(VLOOKUP(N767,TD!$B$54:$F$58,3,0)," ")</f>
        <v>4503</v>
      </c>
      <c r="W767" s="187">
        <f>IFERROR(VLOOKUP(N767,TD!$B$54:$F$58,4,0)," ")</f>
        <v>20240255</v>
      </c>
      <c r="X767" s="186" t="s">
        <v>166</v>
      </c>
      <c r="Y767" s="172" t="str">
        <f>IFERROR(VLOOKUP(X767,TD!$J$55:$K$68,2,0)," ")</f>
        <v>Servicio de capacitaciones en gestión del riesgo de incendios  a la ciudadania.</v>
      </c>
      <c r="Z767" s="180" t="str">
        <f>CONCATENATE(X767,"-",Y767)</f>
        <v>05-Servicio de capacitaciones en gestión del riesgo de incendios  a la ciudadania.</v>
      </c>
      <c r="AA767" s="186" t="s">
        <v>223</v>
      </c>
      <c r="AB767" s="172" t="str">
        <f>IFERROR(VLOOKUP(AA767,TD!$N$55:$O$70,2,0)," ")</f>
        <v>Servicio prevención y control de incendios</v>
      </c>
      <c r="AC767" s="180" t="str">
        <f>CONCATENATE(AA767,"_",AB767)</f>
        <v>035_Servicio prevención y control de incendios</v>
      </c>
      <c r="AD767" s="180" t="str">
        <f>CONCATENATE(Z767," ",AC767)</f>
        <v>05-Servicio de capacitaciones en gestión del riesgo de incendios  a la ciudadania. 035_Servicio prevención y control de incendios</v>
      </c>
      <c r="AE767" s="187" t="str">
        <f>CONCATENATE(U767,V767,W767,X767,AA767)</f>
        <v>O23011745032024025505035</v>
      </c>
      <c r="AF767" s="172" t="str">
        <f>IFERROR(VLOOKUP(AD767,TD!$J$70:$K$93,2,0)," ")</f>
        <v>PM/0131/0105/45030350255</v>
      </c>
      <c r="AG767" s="130" t="s">
        <v>385</v>
      </c>
      <c r="AH767" s="188" t="s">
        <v>194</v>
      </c>
      <c r="AI767" s="184" t="str">
        <f>CONCATENATE(PAA[[#This Row],[Id Interno]],"-",PAA[[#This Row],[tipo de Contrato (TH talento humano - B/S bienes y/o servicios)]],"-",S767,"-",T767,"-",PAA[[#This Row],[Objeto de la contratación]])</f>
        <v>20260790-TH-8173-1--Adicion y prorroga cto 167-2026  Prestar servicios profesionales en  los componentes tecnológicos e informáticos relacionados con los aspectos misionales de la Subdirección de Gestión del Riesgo._SGR</v>
      </c>
    </row>
    <row r="768" spans="2:35" ht="56" x14ac:dyDescent="0.35">
      <c r="B768" s="146">
        <v>20260791</v>
      </c>
      <c r="C768" s="117" t="s">
        <v>511</v>
      </c>
      <c r="D768" s="117" t="s">
        <v>105</v>
      </c>
      <c r="E768" s="117" t="s">
        <v>363</v>
      </c>
      <c r="F768" s="117" t="s">
        <v>144</v>
      </c>
      <c r="G768" s="126" t="s">
        <v>381</v>
      </c>
      <c r="H768" s="147">
        <v>4</v>
      </c>
      <c r="I768" s="147">
        <v>0</v>
      </c>
      <c r="J768" s="130">
        <v>28000000</v>
      </c>
      <c r="K768" s="148" t="s">
        <v>398</v>
      </c>
      <c r="L768" s="177" t="s">
        <v>156</v>
      </c>
      <c r="M768" s="186" t="s">
        <v>484</v>
      </c>
      <c r="N768" s="117" t="s">
        <v>198</v>
      </c>
      <c r="O768" s="186" t="s">
        <v>887</v>
      </c>
      <c r="P768" s="186" t="s">
        <v>348</v>
      </c>
      <c r="Q768" s="149">
        <v>80111600</v>
      </c>
      <c r="R768" s="186" t="s">
        <v>210</v>
      </c>
      <c r="S768" s="174" t="str">
        <f>MID(PAA[[#This Row],[Meta Proyecto de Inversión]],1,4)</f>
        <v>8173</v>
      </c>
      <c r="T768" s="174" t="str">
        <f>MID(PAA[[#This Row],[Meta Proyecto de Inversión]],6,2)</f>
        <v>1-</v>
      </c>
      <c r="U768" s="187" t="str">
        <f>IFERROR(VLOOKUP(N768,TD!$B$54:$F$58,2,0)," ")</f>
        <v>O230117</v>
      </c>
      <c r="V768" s="187" t="str">
        <f>IFERROR(VLOOKUP(N768,TD!$B$54:$F$58,3,0)," ")</f>
        <v>4503</v>
      </c>
      <c r="W768" s="187">
        <f>IFERROR(VLOOKUP(N768,TD!$B$54:$F$58,4,0)," ")</f>
        <v>20240255</v>
      </c>
      <c r="X768" s="186" t="s">
        <v>166</v>
      </c>
      <c r="Y768" s="172" t="str">
        <f>IFERROR(VLOOKUP(X768,TD!$J$55:$K$68,2,0)," ")</f>
        <v>Servicio de capacitaciones en gestión del riesgo de incendios  a la ciudadania.</v>
      </c>
      <c r="Z768" s="180" t="str">
        <f>CONCATENATE(X768,"-",Y768)</f>
        <v>05-Servicio de capacitaciones en gestión del riesgo de incendios  a la ciudadania.</v>
      </c>
      <c r="AA768" s="186" t="s">
        <v>223</v>
      </c>
      <c r="AB768" s="172" t="str">
        <f>IFERROR(VLOOKUP(AA768,TD!$N$55:$O$70,2,0)," ")</f>
        <v>Servicio prevención y control de incendios</v>
      </c>
      <c r="AC768" s="180" t="str">
        <f>CONCATENATE(AA768,"_",AB768)</f>
        <v>035_Servicio prevención y control de incendios</v>
      </c>
      <c r="AD768" s="180" t="str">
        <f>CONCATENATE(Z768," ",AC768)</f>
        <v>05-Servicio de capacitaciones en gestión del riesgo de incendios  a la ciudadania. 035_Servicio prevención y control de incendios</v>
      </c>
      <c r="AE768" s="187" t="str">
        <f>CONCATENATE(U768,V768,W768,X768,AA768)</f>
        <v>O23011745032024025505035</v>
      </c>
      <c r="AF768" s="172" t="str">
        <f>IFERROR(VLOOKUP(AD768,TD!$J$70:$K$93,2,0)," ")</f>
        <v>PM/0131/0105/45030350255</v>
      </c>
      <c r="AG768" s="130" t="s">
        <v>385</v>
      </c>
      <c r="AH768" s="188" t="s">
        <v>193</v>
      </c>
      <c r="AI768" s="184" t="str">
        <f>CONCATENATE(PAA[[#This Row],[Id Interno]],"-",PAA[[#This Row],[tipo de Contrato (TH talento humano - B/S bienes y/o servicios)]],"-",S768,"-",T768,"-",PAA[[#This Row],[Objeto de la contratación]])</f>
        <v>20260791-TH-8173-1--Prestar servicios profesionales en la gestión misional mediante el  análisis y seguimiento financiero de la Subdirección de Gestión del Riesgo_SGR</v>
      </c>
    </row>
    <row r="769" spans="2:35" ht="56" x14ac:dyDescent="0.35">
      <c r="B769" s="146">
        <v>20260792</v>
      </c>
      <c r="C769" s="117" t="s">
        <v>1115</v>
      </c>
      <c r="D769" s="117" t="s">
        <v>105</v>
      </c>
      <c r="E769" s="117" t="s">
        <v>363</v>
      </c>
      <c r="F769" s="117" t="s">
        <v>144</v>
      </c>
      <c r="G769" s="126" t="s">
        <v>1069</v>
      </c>
      <c r="H769" s="147">
        <v>2</v>
      </c>
      <c r="I769" s="147">
        <v>0</v>
      </c>
      <c r="J769" s="130">
        <v>14000000</v>
      </c>
      <c r="K769" s="148" t="s">
        <v>398</v>
      </c>
      <c r="L769" s="177" t="s">
        <v>156</v>
      </c>
      <c r="M769" s="186" t="s">
        <v>484</v>
      </c>
      <c r="N769" s="117" t="s">
        <v>198</v>
      </c>
      <c r="O769" s="186" t="s">
        <v>887</v>
      </c>
      <c r="P769" s="186" t="s">
        <v>348</v>
      </c>
      <c r="Q769" s="149">
        <v>80111600</v>
      </c>
      <c r="R769" s="186" t="s">
        <v>210</v>
      </c>
      <c r="S769" s="174" t="str">
        <f>MID(PAA[[#This Row],[Meta Proyecto de Inversión]],1,4)</f>
        <v>8173</v>
      </c>
      <c r="T769" s="174" t="str">
        <f>MID(PAA[[#This Row],[Meta Proyecto de Inversión]],6,2)</f>
        <v>1-</v>
      </c>
      <c r="U769" s="187" t="str">
        <f>IFERROR(VLOOKUP(N769,TD!$B$54:$F$58,2,0)," ")</f>
        <v>O230117</v>
      </c>
      <c r="V769" s="187" t="str">
        <f>IFERROR(VLOOKUP(N769,TD!$B$54:$F$58,3,0)," ")</f>
        <v>4503</v>
      </c>
      <c r="W769" s="187">
        <f>IFERROR(VLOOKUP(N769,TD!$B$54:$F$58,4,0)," ")</f>
        <v>20240255</v>
      </c>
      <c r="X769" s="186" t="s">
        <v>166</v>
      </c>
      <c r="Y769" s="172" t="str">
        <f>IFERROR(VLOOKUP(X769,TD!$J$55:$K$68,2,0)," ")</f>
        <v>Servicio de capacitaciones en gestión del riesgo de incendios  a la ciudadania.</v>
      </c>
      <c r="Z769" s="180" t="str">
        <f>CONCATENATE(X769,"-",Y769)</f>
        <v>05-Servicio de capacitaciones en gestión del riesgo de incendios  a la ciudadania.</v>
      </c>
      <c r="AA769" s="186" t="s">
        <v>223</v>
      </c>
      <c r="AB769" s="172" t="str">
        <f>IFERROR(VLOOKUP(AA769,TD!$N$55:$O$70,2,0)," ")</f>
        <v>Servicio prevención y control de incendios</v>
      </c>
      <c r="AC769" s="180" t="str">
        <f>CONCATENATE(AA769,"_",AB769)</f>
        <v>035_Servicio prevención y control de incendios</v>
      </c>
      <c r="AD769" s="180" t="str">
        <f>CONCATENATE(Z769," ",AC769)</f>
        <v>05-Servicio de capacitaciones en gestión del riesgo de incendios  a la ciudadania. 035_Servicio prevención y control de incendios</v>
      </c>
      <c r="AE769" s="187" t="str">
        <f>CONCATENATE(U769,V769,W769,X769,AA769)</f>
        <v>O23011745032024025505035</v>
      </c>
      <c r="AF769" s="172" t="str">
        <f>IFERROR(VLOOKUP(AD769,TD!$J$70:$K$93,2,0)," ")</f>
        <v>PM/0131/0105/45030350255</v>
      </c>
      <c r="AG769" s="130" t="s">
        <v>385</v>
      </c>
      <c r="AH769" s="188" t="s">
        <v>194</v>
      </c>
      <c r="AI769" s="184" t="str">
        <f>CONCATENATE(PAA[[#This Row],[Id Interno]],"-",PAA[[#This Row],[tipo de Contrato (TH talento humano - B/S bienes y/o servicios)]],"-",S769,"-",T769,"-",PAA[[#This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70" spans="2:35" ht="56" x14ac:dyDescent="0.35">
      <c r="B770" s="146">
        <v>20260793</v>
      </c>
      <c r="C770" s="117" t="s">
        <v>1071</v>
      </c>
      <c r="D770" s="117" t="s">
        <v>105</v>
      </c>
      <c r="E770" s="117" t="s">
        <v>363</v>
      </c>
      <c r="F770" s="117" t="s">
        <v>144</v>
      </c>
      <c r="G770" s="126" t="s">
        <v>384</v>
      </c>
      <c r="H770" s="147">
        <v>2</v>
      </c>
      <c r="I770" s="147">
        <v>0</v>
      </c>
      <c r="J770" s="130">
        <v>14000000</v>
      </c>
      <c r="K770" s="148" t="s">
        <v>398</v>
      </c>
      <c r="L770" s="177" t="s">
        <v>156</v>
      </c>
      <c r="M770" s="186" t="s">
        <v>484</v>
      </c>
      <c r="N770" s="117" t="s">
        <v>198</v>
      </c>
      <c r="O770" s="186" t="s">
        <v>887</v>
      </c>
      <c r="P770" s="186" t="s">
        <v>348</v>
      </c>
      <c r="Q770" s="149">
        <v>80111600</v>
      </c>
      <c r="R770" s="186" t="s">
        <v>210</v>
      </c>
      <c r="S770" s="174" t="str">
        <f>MID(PAA[[#This Row],[Meta Proyecto de Inversión]],1,4)</f>
        <v>8173</v>
      </c>
      <c r="T770" s="174" t="str">
        <f>MID(PAA[[#This Row],[Meta Proyecto de Inversión]],6,2)</f>
        <v>1-</v>
      </c>
      <c r="U770" s="187" t="str">
        <f>IFERROR(VLOOKUP(N770,TD!$B$54:$F$58,2,0)," ")</f>
        <v>O230117</v>
      </c>
      <c r="V770" s="187" t="str">
        <f>IFERROR(VLOOKUP(N770,TD!$B$54:$F$58,3,0)," ")</f>
        <v>4503</v>
      </c>
      <c r="W770" s="187">
        <f>IFERROR(VLOOKUP(N770,TD!$B$54:$F$58,4,0)," ")</f>
        <v>20240255</v>
      </c>
      <c r="X770" s="186" t="s">
        <v>166</v>
      </c>
      <c r="Y770" s="172" t="str">
        <f>IFERROR(VLOOKUP(X770,TD!$J$55:$K$68,2,0)," ")</f>
        <v>Servicio de capacitaciones en gestión del riesgo de incendios  a la ciudadania.</v>
      </c>
      <c r="Z770" s="180" t="str">
        <f>CONCATENATE(X770,"-",Y770)</f>
        <v>05-Servicio de capacitaciones en gestión del riesgo de incendios  a la ciudadania.</v>
      </c>
      <c r="AA770" s="186" t="s">
        <v>223</v>
      </c>
      <c r="AB770" s="172" t="str">
        <f>IFERROR(VLOOKUP(AA770,TD!$N$55:$O$70,2,0)," ")</f>
        <v>Servicio prevención y control de incendios</v>
      </c>
      <c r="AC770" s="180" t="str">
        <f>CONCATENATE(AA770,"_",AB770)</f>
        <v>035_Servicio prevención y control de incendios</v>
      </c>
      <c r="AD770" s="180" t="str">
        <f>CONCATENATE(Z770," ",AC770)</f>
        <v>05-Servicio de capacitaciones en gestión del riesgo de incendios  a la ciudadania. 035_Servicio prevención y control de incendios</v>
      </c>
      <c r="AE770" s="187" t="str">
        <f>CONCATENATE(U770,V770,W770,X770,AA770)</f>
        <v>O23011745032024025505035</v>
      </c>
      <c r="AF770" s="172" t="str">
        <f>IFERROR(VLOOKUP(AD770,TD!$J$70:$K$93,2,0)," ")</f>
        <v>PM/0131/0105/45030350255</v>
      </c>
      <c r="AG770" s="130" t="s">
        <v>385</v>
      </c>
      <c r="AH770" s="188" t="s">
        <v>194</v>
      </c>
      <c r="AI770" s="184" t="str">
        <f>CONCATENATE(PAA[[#This Row],[Id Interno]],"-",PAA[[#This Row],[tipo de Contrato (TH talento humano - B/S bienes y/o servicios)]],"-",S770,"-",T770,"-",PAA[[#This Row],[Objeto de la contratación]])</f>
        <v xml:space="preserve">20260793-TH-8173-1--Adicion y prorroga cto 350-2026 Prestar servicios profesionales para la gestión misional en sus componentes técnico, administrativo y financiero de la Subdirección de Gestión del Riesgo_SGR. </v>
      </c>
    </row>
    <row r="771" spans="2:35" ht="56" x14ac:dyDescent="0.35">
      <c r="B771" s="146">
        <v>20260794</v>
      </c>
      <c r="C771" s="117" t="s">
        <v>1072</v>
      </c>
      <c r="D771" s="117" t="s">
        <v>105</v>
      </c>
      <c r="E771" s="117" t="s">
        <v>363</v>
      </c>
      <c r="F771" s="117" t="s">
        <v>144</v>
      </c>
      <c r="G771" s="126" t="s">
        <v>1069</v>
      </c>
      <c r="H771" s="147">
        <v>3</v>
      </c>
      <c r="I771" s="147">
        <v>0</v>
      </c>
      <c r="J771" s="130">
        <v>27300000</v>
      </c>
      <c r="K771" s="148" t="s">
        <v>398</v>
      </c>
      <c r="L771" s="177" t="s">
        <v>156</v>
      </c>
      <c r="M771" s="186" t="s">
        <v>484</v>
      </c>
      <c r="N771" s="117" t="s">
        <v>198</v>
      </c>
      <c r="O771" s="186" t="s">
        <v>887</v>
      </c>
      <c r="P771" s="186" t="s">
        <v>348</v>
      </c>
      <c r="Q771" s="149">
        <v>80111600</v>
      </c>
      <c r="R771" s="186" t="s">
        <v>210</v>
      </c>
      <c r="S771" s="174" t="str">
        <f>MID(PAA[[#This Row],[Meta Proyecto de Inversión]],1,4)</f>
        <v>8173</v>
      </c>
      <c r="T771" s="174" t="str">
        <f>MID(PAA[[#This Row],[Meta Proyecto de Inversión]],6,2)</f>
        <v>1-</v>
      </c>
      <c r="U771" s="187" t="str">
        <f>IFERROR(VLOOKUP(N771,TD!$B$54:$F$58,2,0)," ")</f>
        <v>O230117</v>
      </c>
      <c r="V771" s="187" t="str">
        <f>IFERROR(VLOOKUP(N771,TD!$B$54:$F$58,3,0)," ")</f>
        <v>4503</v>
      </c>
      <c r="W771" s="187">
        <f>IFERROR(VLOOKUP(N771,TD!$B$54:$F$58,4,0)," ")</f>
        <v>20240255</v>
      </c>
      <c r="X771" s="186" t="s">
        <v>170</v>
      </c>
      <c r="Y771" s="172" t="str">
        <f>IFERROR(VLOOKUP(X771,TD!$J$55:$K$68,2,0)," ")</f>
        <v>Servicio de inspecciones técnicas realizadas</v>
      </c>
      <c r="Z771" s="180" t="str">
        <f>CONCATENATE(X771,"-",Y771)</f>
        <v>06-Servicio de inspecciones técnicas realizadas</v>
      </c>
      <c r="AA771" s="186" t="s">
        <v>223</v>
      </c>
      <c r="AB771" s="172" t="str">
        <f>IFERROR(VLOOKUP(AA771,TD!$N$55:$O$70,2,0)," ")</f>
        <v>Servicio prevención y control de incendios</v>
      </c>
      <c r="AC771" s="180" t="str">
        <f>CONCATENATE(AA771,"_",AB771)</f>
        <v>035_Servicio prevención y control de incendios</v>
      </c>
      <c r="AD771" s="180" t="str">
        <f>CONCATENATE(Z771," ",AC771)</f>
        <v>06-Servicio de inspecciones técnicas realizadas 035_Servicio prevención y control de incendios</v>
      </c>
      <c r="AE771" s="187" t="str">
        <f>CONCATENATE(U771,V771,W771,X771,AA771)</f>
        <v>O23011745032024025506035</v>
      </c>
      <c r="AF771" s="172" t="str">
        <f>IFERROR(VLOOKUP(AD771,TD!$J$70:$K$93,2,0)," ")</f>
        <v>PM/0131/0106/45030350255</v>
      </c>
      <c r="AG771" s="130" t="s">
        <v>385</v>
      </c>
      <c r="AH771" s="188" t="s">
        <v>194</v>
      </c>
      <c r="AI771" s="184" t="str">
        <f>CONCATENATE(PAA[[#This Row],[Id Interno]],"-",PAA[[#This Row],[tipo de Contrato (TH talento humano - B/S bienes y/o servicios)]],"-",S771,"-",T771,"-",PAA[[#This Row],[Objeto de la contratación]])</f>
        <v>20260794-TH-8173-1--Adicion y prorroga cto 038-2026 Prestar servicios profesionales  liderando las actividades del proceso de inspecciones técnicas de la subdireccion de gestion del riesgo.._SGR</v>
      </c>
    </row>
    <row r="772" spans="2:35" ht="56" x14ac:dyDescent="0.35">
      <c r="B772" s="146">
        <v>20260795</v>
      </c>
      <c r="C772" s="117" t="s">
        <v>1073</v>
      </c>
      <c r="D772" s="117" t="s">
        <v>105</v>
      </c>
      <c r="E772" s="117" t="s">
        <v>363</v>
      </c>
      <c r="F772" s="117" t="s">
        <v>144</v>
      </c>
      <c r="G772" s="126" t="s">
        <v>1069</v>
      </c>
      <c r="H772" s="147">
        <v>2</v>
      </c>
      <c r="I772" s="147">
        <v>0</v>
      </c>
      <c r="J772" s="130">
        <v>10000000</v>
      </c>
      <c r="K772" s="148" t="s">
        <v>398</v>
      </c>
      <c r="L772" s="177" t="s">
        <v>156</v>
      </c>
      <c r="M772" s="186" t="s">
        <v>484</v>
      </c>
      <c r="N772" s="117" t="s">
        <v>198</v>
      </c>
      <c r="O772" s="186" t="s">
        <v>887</v>
      </c>
      <c r="P772" s="186" t="s">
        <v>348</v>
      </c>
      <c r="Q772" s="149">
        <v>80111600</v>
      </c>
      <c r="R772" s="186" t="s">
        <v>210</v>
      </c>
      <c r="S772" s="174" t="str">
        <f>MID(PAA[[#This Row],[Meta Proyecto de Inversión]],1,4)</f>
        <v>8173</v>
      </c>
      <c r="T772" s="174" t="str">
        <f>MID(PAA[[#This Row],[Meta Proyecto de Inversión]],6,2)</f>
        <v>1-</v>
      </c>
      <c r="U772" s="187" t="str">
        <f>IFERROR(VLOOKUP(N772,TD!$B$54:$F$58,2,0)," ")</f>
        <v>O230117</v>
      </c>
      <c r="V772" s="187" t="str">
        <f>IFERROR(VLOOKUP(N772,TD!$B$54:$F$58,3,0)," ")</f>
        <v>4503</v>
      </c>
      <c r="W772" s="187">
        <f>IFERROR(VLOOKUP(N772,TD!$B$54:$F$58,4,0)," ")</f>
        <v>20240255</v>
      </c>
      <c r="X772" s="186" t="s">
        <v>170</v>
      </c>
      <c r="Y772" s="172" t="str">
        <f>IFERROR(VLOOKUP(X772,TD!$J$55:$K$68,2,0)," ")</f>
        <v>Servicio de inspecciones técnicas realizadas</v>
      </c>
      <c r="Z772" s="180" t="str">
        <f>CONCATENATE(X772,"-",Y772)</f>
        <v>06-Servicio de inspecciones técnicas realizadas</v>
      </c>
      <c r="AA772" s="186" t="s">
        <v>223</v>
      </c>
      <c r="AB772" s="172" t="str">
        <f>IFERROR(VLOOKUP(AA772,TD!$N$55:$O$70,2,0)," ")</f>
        <v>Servicio prevención y control de incendios</v>
      </c>
      <c r="AC772" s="180" t="str">
        <f>CONCATENATE(AA772,"_",AB772)</f>
        <v>035_Servicio prevención y control de incendios</v>
      </c>
      <c r="AD772" s="180" t="str">
        <f>CONCATENATE(Z772," ",AC772)</f>
        <v>06-Servicio de inspecciones técnicas realizadas 035_Servicio prevención y control de incendios</v>
      </c>
      <c r="AE772" s="187" t="str">
        <f>CONCATENATE(U772,V772,W772,X772,AA772)</f>
        <v>O23011745032024025506035</v>
      </c>
      <c r="AF772" s="172" t="str">
        <f>IFERROR(VLOOKUP(AD772,TD!$J$70:$K$93,2,0)," ")</f>
        <v>PM/0131/0106/45030350255</v>
      </c>
      <c r="AG772" s="130" t="s">
        <v>385</v>
      </c>
      <c r="AH772" s="188" t="s">
        <v>194</v>
      </c>
      <c r="AI772" s="184" t="str">
        <f>CONCATENATE(PAA[[#This Row],[Id Interno]],"-",PAA[[#This Row],[tipo de Contrato (TH talento humano - B/S bienes y/o servicios)]],"-",S772,"-",T772,"-",PAA[[#This Row],[Objeto de la contratación]])</f>
        <v>20260795-TH-8173-1--Adicion y prorroga cto 219-2026 Prestar  servicios profesionales en las actividades relacionadas con la emision de conceptos a cargo de la Subdirección de Gestión del Riesgo._SGR</v>
      </c>
    </row>
    <row r="773" spans="2:35" ht="56" x14ac:dyDescent="0.35">
      <c r="B773" s="146">
        <v>20260796</v>
      </c>
      <c r="C773" s="117" t="s">
        <v>1074</v>
      </c>
      <c r="D773" s="117" t="s">
        <v>105</v>
      </c>
      <c r="E773" s="117" t="s">
        <v>363</v>
      </c>
      <c r="F773" s="117" t="s">
        <v>144</v>
      </c>
      <c r="G773" s="126" t="s">
        <v>1069</v>
      </c>
      <c r="H773" s="147">
        <v>2</v>
      </c>
      <c r="I773" s="147">
        <v>0</v>
      </c>
      <c r="J773" s="130">
        <v>10000000</v>
      </c>
      <c r="K773" s="148" t="s">
        <v>398</v>
      </c>
      <c r="L773" s="177" t="s">
        <v>156</v>
      </c>
      <c r="M773" s="186" t="s">
        <v>484</v>
      </c>
      <c r="N773" s="117" t="s">
        <v>198</v>
      </c>
      <c r="O773" s="186" t="s">
        <v>887</v>
      </c>
      <c r="P773" s="186" t="s">
        <v>348</v>
      </c>
      <c r="Q773" s="149">
        <v>80111600</v>
      </c>
      <c r="R773" s="186" t="s">
        <v>210</v>
      </c>
      <c r="S773" s="174" t="str">
        <f>MID(PAA[[#This Row],[Meta Proyecto de Inversión]],1,4)</f>
        <v>8173</v>
      </c>
      <c r="T773" s="174" t="str">
        <f>MID(PAA[[#This Row],[Meta Proyecto de Inversión]],6,2)</f>
        <v>1-</v>
      </c>
      <c r="U773" s="187" t="str">
        <f>IFERROR(VLOOKUP(N773,TD!$B$54:$F$58,2,0)," ")</f>
        <v>O230117</v>
      </c>
      <c r="V773" s="187" t="str">
        <f>IFERROR(VLOOKUP(N773,TD!$B$54:$F$58,3,0)," ")</f>
        <v>4503</v>
      </c>
      <c r="W773" s="187">
        <f>IFERROR(VLOOKUP(N773,TD!$B$54:$F$58,4,0)," ")</f>
        <v>20240255</v>
      </c>
      <c r="X773" s="186" t="s">
        <v>170</v>
      </c>
      <c r="Y773" s="172" t="str">
        <f>IFERROR(VLOOKUP(X773,TD!$J$55:$K$68,2,0)," ")</f>
        <v>Servicio de inspecciones técnicas realizadas</v>
      </c>
      <c r="Z773" s="180" t="str">
        <f>CONCATENATE(X773,"-",Y773)</f>
        <v>06-Servicio de inspecciones técnicas realizadas</v>
      </c>
      <c r="AA773" s="186" t="s">
        <v>223</v>
      </c>
      <c r="AB773" s="172" t="str">
        <f>IFERROR(VLOOKUP(AA773,TD!$N$55:$O$70,2,0)," ")</f>
        <v>Servicio prevención y control de incendios</v>
      </c>
      <c r="AC773" s="180" t="str">
        <f>CONCATENATE(AA773,"_",AB773)</f>
        <v>035_Servicio prevención y control de incendios</v>
      </c>
      <c r="AD773" s="180" t="str">
        <f>CONCATENATE(Z773," ",AC773)</f>
        <v>06-Servicio de inspecciones técnicas realizadas 035_Servicio prevención y control de incendios</v>
      </c>
      <c r="AE773" s="187" t="str">
        <f>CONCATENATE(U773,V773,W773,X773,AA773)</f>
        <v>O23011745032024025506035</v>
      </c>
      <c r="AF773" s="172" t="str">
        <f>IFERROR(VLOOKUP(AD773,TD!$J$70:$K$93,2,0)," ")</f>
        <v>PM/0131/0106/45030350255</v>
      </c>
      <c r="AG773" s="130" t="s">
        <v>385</v>
      </c>
      <c r="AH773" s="188" t="s">
        <v>194</v>
      </c>
      <c r="AI773" s="184" t="str">
        <f>CONCATENATE(PAA[[#This Row],[Id Interno]],"-",PAA[[#This Row],[tipo de Contrato (TH talento humano - B/S bienes y/o servicios)]],"-",S773,"-",T773,"-",PAA[[#This Row],[Objeto de la contratación]])</f>
        <v>20260796-TH-8173-1--Adicion y prorroga cto 104-2026 Prestar  servicios profesionales en las actividades relacionadas con la emision de conceptos a cargo de la Subdirección de Gestión del Riesgo._SGR</v>
      </c>
    </row>
    <row r="774" spans="2:35" ht="56" x14ac:dyDescent="0.35">
      <c r="B774" s="146">
        <v>20260797</v>
      </c>
      <c r="C774" s="117" t="s">
        <v>1075</v>
      </c>
      <c r="D774" s="117" t="s">
        <v>105</v>
      </c>
      <c r="E774" s="117" t="s">
        <v>363</v>
      </c>
      <c r="F774" s="117" t="s">
        <v>144</v>
      </c>
      <c r="G774" s="126" t="s">
        <v>381</v>
      </c>
      <c r="H774" s="147">
        <v>3</v>
      </c>
      <c r="I774" s="147">
        <v>0</v>
      </c>
      <c r="J774" s="130">
        <v>18000000</v>
      </c>
      <c r="K774" s="148" t="s">
        <v>398</v>
      </c>
      <c r="L774" s="177" t="s">
        <v>156</v>
      </c>
      <c r="M774" s="186" t="s">
        <v>484</v>
      </c>
      <c r="N774" s="117" t="s">
        <v>198</v>
      </c>
      <c r="O774" s="186" t="s">
        <v>887</v>
      </c>
      <c r="P774" s="186" t="s">
        <v>348</v>
      </c>
      <c r="Q774" s="149">
        <v>80111600</v>
      </c>
      <c r="R774" s="186" t="s">
        <v>210</v>
      </c>
      <c r="S774" s="174" t="str">
        <f>MID(PAA[[#This Row],[Meta Proyecto de Inversión]],1,4)</f>
        <v>8173</v>
      </c>
      <c r="T774" s="174" t="str">
        <f>MID(PAA[[#This Row],[Meta Proyecto de Inversión]],6,2)</f>
        <v>1-</v>
      </c>
      <c r="U774" s="187" t="str">
        <f>IFERROR(VLOOKUP(N774,TD!$B$54:$F$58,2,0)," ")</f>
        <v>O230117</v>
      </c>
      <c r="V774" s="187" t="str">
        <f>IFERROR(VLOOKUP(N774,TD!$B$54:$F$58,3,0)," ")</f>
        <v>4503</v>
      </c>
      <c r="W774" s="187">
        <f>IFERROR(VLOOKUP(N774,TD!$B$54:$F$58,4,0)," ")</f>
        <v>20240255</v>
      </c>
      <c r="X774" s="186" t="s">
        <v>170</v>
      </c>
      <c r="Y774" s="172" t="str">
        <f>IFERROR(VLOOKUP(X774,TD!$J$55:$K$68,2,0)," ")</f>
        <v>Servicio de inspecciones técnicas realizadas</v>
      </c>
      <c r="Z774" s="180" t="str">
        <f>CONCATENATE(X774,"-",Y774)</f>
        <v>06-Servicio de inspecciones técnicas realizadas</v>
      </c>
      <c r="AA774" s="186" t="s">
        <v>223</v>
      </c>
      <c r="AB774" s="172" t="str">
        <f>IFERROR(VLOOKUP(AA774,TD!$N$55:$O$70,2,0)," ")</f>
        <v>Servicio prevención y control de incendios</v>
      </c>
      <c r="AC774" s="180" t="str">
        <f>CONCATENATE(AA774,"_",AB774)</f>
        <v>035_Servicio prevención y control de incendios</v>
      </c>
      <c r="AD774" s="180" t="str">
        <f>CONCATENATE(Z774," ",AC774)</f>
        <v>06-Servicio de inspecciones técnicas realizadas 035_Servicio prevención y control de incendios</v>
      </c>
      <c r="AE774" s="187" t="str">
        <f>CONCATENATE(U774,V774,W774,X774,AA774)</f>
        <v>O23011745032024025506035</v>
      </c>
      <c r="AF774" s="172" t="str">
        <f>IFERROR(VLOOKUP(AD774,TD!$J$70:$K$93,2,0)," ")</f>
        <v>PM/0131/0106/45030350255</v>
      </c>
      <c r="AG774" s="130" t="s">
        <v>385</v>
      </c>
      <c r="AH774" s="188" t="s">
        <v>194</v>
      </c>
      <c r="AI774" s="184" t="str">
        <f>CONCATENATE(PAA[[#This Row],[Id Interno]],"-",PAA[[#This Row],[tipo de Contrato (TH talento humano - B/S bienes y/o servicios)]],"-",S774,"-",T774,"-",PAA[[#This Row],[Objeto de la contratación]])</f>
        <v>20260797-TH-8173-1--Adicion y prorroga cto 048-2026 Prestarservicios profesionales en las actividades relacionadas con la emision de conceptos a cargo de la Subdirección de Gestión del Riesgo._SGR</v>
      </c>
    </row>
    <row r="775" spans="2:35" ht="56" x14ac:dyDescent="0.35">
      <c r="B775" s="146">
        <v>20260798</v>
      </c>
      <c r="C775" s="117" t="s">
        <v>1076</v>
      </c>
      <c r="D775" s="117" t="s">
        <v>105</v>
      </c>
      <c r="E775" s="117" t="s">
        <v>363</v>
      </c>
      <c r="F775" s="117" t="s">
        <v>144</v>
      </c>
      <c r="G775" s="126" t="s">
        <v>381</v>
      </c>
      <c r="H775" s="147">
        <v>2</v>
      </c>
      <c r="I775" s="147">
        <v>15</v>
      </c>
      <c r="J775" s="130">
        <v>15000000</v>
      </c>
      <c r="K775" s="148" t="s">
        <v>398</v>
      </c>
      <c r="L775" s="177" t="s">
        <v>156</v>
      </c>
      <c r="M775" s="186" t="s">
        <v>484</v>
      </c>
      <c r="N775" s="117" t="s">
        <v>198</v>
      </c>
      <c r="O775" s="186" t="s">
        <v>887</v>
      </c>
      <c r="P775" s="186" t="s">
        <v>348</v>
      </c>
      <c r="Q775" s="149">
        <v>80111600</v>
      </c>
      <c r="R775" s="186" t="s">
        <v>210</v>
      </c>
      <c r="S775" s="174" t="str">
        <f>MID(PAA[[#This Row],[Meta Proyecto de Inversión]],1,4)</f>
        <v>8173</v>
      </c>
      <c r="T775" s="174" t="str">
        <f>MID(PAA[[#This Row],[Meta Proyecto de Inversión]],6,2)</f>
        <v>1-</v>
      </c>
      <c r="U775" s="187" t="str">
        <f>IFERROR(VLOOKUP(N775,TD!$B$54:$F$58,2,0)," ")</f>
        <v>O230117</v>
      </c>
      <c r="V775" s="187" t="str">
        <f>IFERROR(VLOOKUP(N775,TD!$B$54:$F$58,3,0)," ")</f>
        <v>4503</v>
      </c>
      <c r="W775" s="187">
        <f>IFERROR(VLOOKUP(N775,TD!$B$54:$F$58,4,0)," ")</f>
        <v>20240255</v>
      </c>
      <c r="X775" s="186" t="s">
        <v>170</v>
      </c>
      <c r="Y775" s="172" t="str">
        <f>IFERROR(VLOOKUP(X775,TD!$J$55:$K$68,2,0)," ")</f>
        <v>Servicio de inspecciones técnicas realizadas</v>
      </c>
      <c r="Z775" s="180" t="str">
        <f>CONCATENATE(X775,"-",Y775)</f>
        <v>06-Servicio de inspecciones técnicas realizadas</v>
      </c>
      <c r="AA775" s="186" t="s">
        <v>223</v>
      </c>
      <c r="AB775" s="172" t="str">
        <f>IFERROR(VLOOKUP(AA775,TD!$N$55:$O$70,2,0)," ")</f>
        <v>Servicio prevención y control de incendios</v>
      </c>
      <c r="AC775" s="180" t="str">
        <f>CONCATENATE(AA775,"_",AB775)</f>
        <v>035_Servicio prevención y control de incendios</v>
      </c>
      <c r="AD775" s="180" t="str">
        <f>CONCATENATE(Z775," ",AC775)</f>
        <v>06-Servicio de inspecciones técnicas realizadas 035_Servicio prevención y control de incendios</v>
      </c>
      <c r="AE775" s="187" t="str">
        <f>CONCATENATE(U775,V775,W775,X775,AA775)</f>
        <v>O23011745032024025506035</v>
      </c>
      <c r="AF775" s="172" t="str">
        <f>IFERROR(VLOOKUP(AD775,TD!$J$70:$K$93,2,0)," ")</f>
        <v>PM/0131/0106/45030350255</v>
      </c>
      <c r="AG775" s="130" t="s">
        <v>385</v>
      </c>
      <c r="AH775" s="188" t="s">
        <v>194</v>
      </c>
      <c r="AI775" s="184" t="str">
        <f>CONCATENATE(PAA[[#This Row],[Id Interno]],"-",PAA[[#This Row],[tipo de Contrato (TH talento humano - B/S bienes y/o servicios)]],"-",S775,"-",T775,"-",PAA[[#This Row],[Objeto de la contratación]])</f>
        <v>20260798-TH-8173-1--Adicion y prorroga cto 244-2026 Prestarservicios profesionales en las actividades relacionadas con la emision de conceptos a cargo de la Subdirección de Gestión del Riesgo._SGR</v>
      </c>
    </row>
    <row r="776" spans="2:35" ht="56" x14ac:dyDescent="0.35">
      <c r="B776" s="146">
        <v>20260799</v>
      </c>
      <c r="C776" s="117" t="s">
        <v>1077</v>
      </c>
      <c r="D776" s="117" t="s">
        <v>105</v>
      </c>
      <c r="E776" s="117" t="s">
        <v>363</v>
      </c>
      <c r="F776" s="117" t="s">
        <v>144</v>
      </c>
      <c r="G776" s="126" t="s">
        <v>381</v>
      </c>
      <c r="H776" s="147">
        <v>2</v>
      </c>
      <c r="I776" s="147">
        <v>15</v>
      </c>
      <c r="J776" s="130">
        <v>15000000</v>
      </c>
      <c r="K776" s="148" t="s">
        <v>398</v>
      </c>
      <c r="L776" s="177" t="s">
        <v>156</v>
      </c>
      <c r="M776" s="186" t="s">
        <v>484</v>
      </c>
      <c r="N776" s="117" t="s">
        <v>198</v>
      </c>
      <c r="O776" s="186" t="s">
        <v>887</v>
      </c>
      <c r="P776" s="186" t="s">
        <v>348</v>
      </c>
      <c r="Q776" s="149">
        <v>80111600</v>
      </c>
      <c r="R776" s="186" t="s">
        <v>210</v>
      </c>
      <c r="S776" s="174" t="str">
        <f>MID(PAA[[#This Row],[Meta Proyecto de Inversión]],1,4)</f>
        <v>8173</v>
      </c>
      <c r="T776" s="174" t="str">
        <f>MID(PAA[[#This Row],[Meta Proyecto de Inversión]],6,2)</f>
        <v>1-</v>
      </c>
      <c r="U776" s="187" t="str">
        <f>IFERROR(VLOOKUP(N776,TD!$B$54:$F$58,2,0)," ")</f>
        <v>O230117</v>
      </c>
      <c r="V776" s="187" t="str">
        <f>IFERROR(VLOOKUP(N776,TD!$B$54:$F$58,3,0)," ")</f>
        <v>4503</v>
      </c>
      <c r="W776" s="187">
        <f>IFERROR(VLOOKUP(N776,TD!$B$54:$F$58,4,0)," ")</f>
        <v>20240255</v>
      </c>
      <c r="X776" s="186" t="s">
        <v>170</v>
      </c>
      <c r="Y776" s="172" t="str">
        <f>IFERROR(VLOOKUP(X776,TD!$J$55:$K$68,2,0)," ")</f>
        <v>Servicio de inspecciones técnicas realizadas</v>
      </c>
      <c r="Z776" s="180" t="str">
        <f>CONCATENATE(X776,"-",Y776)</f>
        <v>06-Servicio de inspecciones técnicas realizadas</v>
      </c>
      <c r="AA776" s="186" t="s">
        <v>223</v>
      </c>
      <c r="AB776" s="172" t="str">
        <f>IFERROR(VLOOKUP(AA776,TD!$N$55:$O$70,2,0)," ")</f>
        <v>Servicio prevención y control de incendios</v>
      </c>
      <c r="AC776" s="180" t="str">
        <f>CONCATENATE(AA776,"_",AB776)</f>
        <v>035_Servicio prevención y control de incendios</v>
      </c>
      <c r="AD776" s="180" t="str">
        <f>CONCATENATE(Z776," ",AC776)</f>
        <v>06-Servicio de inspecciones técnicas realizadas 035_Servicio prevención y control de incendios</v>
      </c>
      <c r="AE776" s="187" t="str">
        <f>CONCATENATE(U776,V776,W776,X776,AA776)</f>
        <v>O23011745032024025506035</v>
      </c>
      <c r="AF776" s="172" t="str">
        <f>IFERROR(VLOOKUP(AD776,TD!$J$70:$K$93,2,0)," ")</f>
        <v>PM/0131/0106/45030350255</v>
      </c>
      <c r="AG776" s="130" t="s">
        <v>385</v>
      </c>
      <c r="AH776" s="188" t="s">
        <v>194</v>
      </c>
      <c r="AI776" s="184" t="str">
        <f>CONCATENATE(PAA[[#This Row],[Id Interno]],"-",PAA[[#This Row],[tipo de Contrato (TH talento humano - B/S bienes y/o servicios)]],"-",S776,"-",T776,"-",PAA[[#This Row],[Objeto de la contratación]])</f>
        <v>20260799-TH-8173-1--Adicion y prorroga cto 349-2026 Prestarservicios profesionales en las actividades relacionadas con la emision de conceptos a cargo de la Subdirección de Gestión del Riesgo._SGR</v>
      </c>
    </row>
    <row r="777" spans="2:35" ht="56" x14ac:dyDescent="0.35">
      <c r="B777" s="146">
        <v>20260800</v>
      </c>
      <c r="C777" s="117" t="s">
        <v>1078</v>
      </c>
      <c r="D777" s="117" t="s">
        <v>105</v>
      </c>
      <c r="E777" s="117" t="s">
        <v>363</v>
      </c>
      <c r="F777" s="117" t="s">
        <v>144</v>
      </c>
      <c r="G777" s="126" t="s">
        <v>383</v>
      </c>
      <c r="H777" s="147">
        <v>1</v>
      </c>
      <c r="I777" s="147">
        <v>0</v>
      </c>
      <c r="J777" s="130">
        <v>7000000</v>
      </c>
      <c r="K777" s="148" t="s">
        <v>398</v>
      </c>
      <c r="L777" s="177" t="s">
        <v>156</v>
      </c>
      <c r="M777" s="186" t="s">
        <v>484</v>
      </c>
      <c r="N777" s="117" t="s">
        <v>198</v>
      </c>
      <c r="O777" s="186" t="s">
        <v>887</v>
      </c>
      <c r="P777" s="186" t="s">
        <v>348</v>
      </c>
      <c r="Q777" s="149">
        <v>80111600</v>
      </c>
      <c r="R777" s="186" t="s">
        <v>210</v>
      </c>
      <c r="S777" s="174" t="str">
        <f>MID(PAA[[#This Row],[Meta Proyecto de Inversión]],1,4)</f>
        <v>8173</v>
      </c>
      <c r="T777" s="166" t="str">
        <f>MID(PAA[[#This Row],[Meta Proyecto de Inversión]],6,2)</f>
        <v>1-</v>
      </c>
      <c r="U777" s="187" t="str">
        <f>IFERROR(VLOOKUP(N777,TD!$B$54:$F$58,2,0)," ")</f>
        <v>O230117</v>
      </c>
      <c r="V777" s="187" t="str">
        <f>IFERROR(VLOOKUP(N777,TD!$B$54:$F$58,3,0)," ")</f>
        <v>4503</v>
      </c>
      <c r="W777" s="187">
        <f>IFERROR(VLOOKUP(N777,TD!$B$54:$F$58,4,0)," ")</f>
        <v>20240255</v>
      </c>
      <c r="X777" s="186" t="s">
        <v>170</v>
      </c>
      <c r="Y777" s="172" t="str">
        <f>IFERROR(VLOOKUP(X777,TD!$J$55:$K$68,2,0)," ")</f>
        <v>Servicio de inspecciones técnicas realizadas</v>
      </c>
      <c r="Z777" s="180" t="str">
        <f>CONCATENATE(X777,"-",Y777)</f>
        <v>06-Servicio de inspecciones técnicas realizadas</v>
      </c>
      <c r="AA777" s="186" t="s">
        <v>223</v>
      </c>
      <c r="AB777" s="172" t="str">
        <f>IFERROR(VLOOKUP(AA777,TD!$N$55:$O$70,2,0)," ")</f>
        <v>Servicio prevención y control de incendios</v>
      </c>
      <c r="AC777" s="180" t="str">
        <f>CONCATENATE(AA777,"_",AB777)</f>
        <v>035_Servicio prevención y control de incendios</v>
      </c>
      <c r="AD777" s="180" t="str">
        <f>CONCATENATE(Z777," ",AC777)</f>
        <v>06-Servicio de inspecciones técnicas realizadas 035_Servicio prevención y control de incendios</v>
      </c>
      <c r="AE777" s="187" t="str">
        <f>CONCATENATE(U777,V777,W777,X777,AA777)</f>
        <v>O23011745032024025506035</v>
      </c>
      <c r="AF777" s="172" t="str">
        <f>IFERROR(VLOOKUP(AD777,TD!$J$70:$K$93,2,0)," ")</f>
        <v>PM/0131/0106/45030350255</v>
      </c>
      <c r="AG777" s="130" t="s">
        <v>385</v>
      </c>
      <c r="AH777" s="188" t="s">
        <v>194</v>
      </c>
      <c r="AI777" s="184" t="str">
        <f>CONCATENATE(PAA[[#This Row],[Id Interno]],"-",PAA[[#This Row],[tipo de Contrato (TH talento humano - B/S bienes y/o servicios)]],"-",S777,"-",T777,"-",PAA[[#This Row],[Objeto de la contratación]])</f>
        <v>20260800-TH-8173-1--Adicion y prorroga cto 238-2026 Prestarservicios profesionales en las actividades relacionadas con la emision de conceptos a cargo de la Subdirección de Gestión del Riesgo._SGR</v>
      </c>
    </row>
    <row r="778" spans="2:35" ht="56" x14ac:dyDescent="0.35">
      <c r="B778" s="146">
        <v>20260801</v>
      </c>
      <c r="C778" s="117" t="s">
        <v>1079</v>
      </c>
      <c r="D778" s="117" t="s">
        <v>105</v>
      </c>
      <c r="E778" s="117" t="s">
        <v>363</v>
      </c>
      <c r="F778" s="117" t="s">
        <v>144</v>
      </c>
      <c r="G778" s="126" t="s">
        <v>383</v>
      </c>
      <c r="H778" s="147">
        <v>1</v>
      </c>
      <c r="I778" s="147">
        <v>0</v>
      </c>
      <c r="J778" s="130">
        <v>7000000</v>
      </c>
      <c r="K778" s="148" t="s">
        <v>398</v>
      </c>
      <c r="L778" s="177" t="s">
        <v>156</v>
      </c>
      <c r="M778" s="186" t="s">
        <v>484</v>
      </c>
      <c r="N778" s="117" t="s">
        <v>198</v>
      </c>
      <c r="O778" s="186" t="s">
        <v>887</v>
      </c>
      <c r="P778" s="186" t="s">
        <v>348</v>
      </c>
      <c r="Q778" s="149">
        <v>80111600</v>
      </c>
      <c r="R778" s="186" t="s">
        <v>210</v>
      </c>
      <c r="S778" s="174" t="str">
        <f>MID(PAA[[#This Row],[Meta Proyecto de Inversión]],1,4)</f>
        <v>8173</v>
      </c>
      <c r="T778" s="166" t="str">
        <f>MID(PAA[[#This Row],[Meta Proyecto de Inversión]],6,2)</f>
        <v>1-</v>
      </c>
      <c r="U778" s="187" t="str">
        <f>IFERROR(VLOOKUP(N778,TD!$B$54:$F$58,2,0)," ")</f>
        <v>O230117</v>
      </c>
      <c r="V778" s="187" t="str">
        <f>IFERROR(VLOOKUP(N778,TD!$B$54:$F$58,3,0)," ")</f>
        <v>4503</v>
      </c>
      <c r="W778" s="187">
        <f>IFERROR(VLOOKUP(N778,TD!$B$54:$F$58,4,0)," ")</f>
        <v>20240255</v>
      </c>
      <c r="X778" s="186" t="s">
        <v>170</v>
      </c>
      <c r="Y778" s="172" t="str">
        <f>IFERROR(VLOOKUP(X778,TD!$J$55:$K$68,2,0)," ")</f>
        <v>Servicio de inspecciones técnicas realizadas</v>
      </c>
      <c r="Z778" s="180" t="str">
        <f>CONCATENATE(X778,"-",Y778)</f>
        <v>06-Servicio de inspecciones técnicas realizadas</v>
      </c>
      <c r="AA778" s="186" t="s">
        <v>223</v>
      </c>
      <c r="AB778" s="172" t="str">
        <f>IFERROR(VLOOKUP(AA778,TD!$N$55:$O$70,2,0)," ")</f>
        <v>Servicio prevención y control de incendios</v>
      </c>
      <c r="AC778" s="180" t="str">
        <f>CONCATENATE(AA778,"_",AB778)</f>
        <v>035_Servicio prevención y control de incendios</v>
      </c>
      <c r="AD778" s="180" t="str">
        <f>CONCATENATE(Z778," ",AC778)</f>
        <v>06-Servicio de inspecciones técnicas realizadas 035_Servicio prevención y control de incendios</v>
      </c>
      <c r="AE778" s="187" t="str">
        <f>CONCATENATE(U778,V778,W778,X778,AA778)</f>
        <v>O23011745032024025506035</v>
      </c>
      <c r="AF778" s="172" t="str">
        <f>IFERROR(VLOOKUP(AD778,TD!$J$70:$K$93,2,0)," ")</f>
        <v>PM/0131/0106/45030350255</v>
      </c>
      <c r="AG778" s="130" t="s">
        <v>385</v>
      </c>
      <c r="AH778" s="188" t="s">
        <v>194</v>
      </c>
      <c r="AI778" s="184" t="str">
        <f>CONCATENATE(PAA[[#This Row],[Id Interno]],"-",PAA[[#This Row],[tipo de Contrato (TH talento humano - B/S bienes y/o servicios)]],"-",S778,"-",T778,"-",PAA[[#This Row],[Objeto de la contratación]])</f>
        <v>20260801-TH-8173-1--Adicion y prorroga cto 346-2026 Prestarservicios profesionales en las actividades relacionadas con la emision de conceptos a cargo de la Subdirección de Gestión del Riesgo._SGR</v>
      </c>
    </row>
    <row r="779" spans="2:35" ht="56" x14ac:dyDescent="0.35">
      <c r="B779" s="146">
        <v>20260802</v>
      </c>
      <c r="C779" s="117" t="s">
        <v>1080</v>
      </c>
      <c r="D779" s="117" t="s">
        <v>105</v>
      </c>
      <c r="E779" s="117" t="s">
        <v>363</v>
      </c>
      <c r="F779" s="117" t="s">
        <v>145</v>
      </c>
      <c r="G779" s="126" t="s">
        <v>383</v>
      </c>
      <c r="H779" s="147">
        <v>1</v>
      </c>
      <c r="I779" s="147">
        <v>0</v>
      </c>
      <c r="J779" s="130">
        <v>4500000</v>
      </c>
      <c r="K779" s="148" t="s">
        <v>398</v>
      </c>
      <c r="L779" s="177" t="s">
        <v>156</v>
      </c>
      <c r="M779" s="186" t="s">
        <v>484</v>
      </c>
      <c r="N779" s="117" t="s">
        <v>198</v>
      </c>
      <c r="O779" s="186" t="s">
        <v>887</v>
      </c>
      <c r="P779" s="186" t="s">
        <v>348</v>
      </c>
      <c r="Q779" s="149">
        <v>80111600</v>
      </c>
      <c r="R779" s="186" t="s">
        <v>210</v>
      </c>
      <c r="S779" s="174" t="str">
        <f>MID(PAA[[#This Row],[Meta Proyecto de Inversión]],1,4)</f>
        <v>8173</v>
      </c>
      <c r="T779" s="174" t="str">
        <f>MID(PAA[[#This Row],[Meta Proyecto de Inversión]],6,2)</f>
        <v>1-</v>
      </c>
      <c r="U779" s="187" t="str">
        <f>IFERROR(VLOOKUP(N779,TD!$B$54:$F$58,2,0)," ")</f>
        <v>O230117</v>
      </c>
      <c r="V779" s="187" t="str">
        <f>IFERROR(VLOOKUP(N779,TD!$B$54:$F$58,3,0)," ")</f>
        <v>4503</v>
      </c>
      <c r="W779" s="187">
        <f>IFERROR(VLOOKUP(N779,TD!$B$54:$F$58,4,0)," ")</f>
        <v>20240255</v>
      </c>
      <c r="X779" s="186" t="s">
        <v>170</v>
      </c>
      <c r="Y779" s="172" t="str">
        <f>IFERROR(VLOOKUP(X779,TD!$J$55:$K$68,2,0)," ")</f>
        <v>Servicio de inspecciones técnicas realizadas</v>
      </c>
      <c r="Z779" s="180" t="str">
        <f>CONCATENATE(X779,"-",Y779)</f>
        <v>06-Servicio de inspecciones técnicas realizadas</v>
      </c>
      <c r="AA779" s="186" t="s">
        <v>223</v>
      </c>
      <c r="AB779" s="172" t="str">
        <f>IFERROR(VLOOKUP(AA779,TD!$N$55:$O$70,2,0)," ")</f>
        <v>Servicio prevención y control de incendios</v>
      </c>
      <c r="AC779" s="180" t="str">
        <f>CONCATENATE(AA779,"_",AB779)</f>
        <v>035_Servicio prevención y control de incendios</v>
      </c>
      <c r="AD779" s="180" t="str">
        <f>CONCATENATE(Z779," ",AC779)</f>
        <v>06-Servicio de inspecciones técnicas realizadas 035_Servicio prevención y control de incendios</v>
      </c>
      <c r="AE779" s="187" t="str">
        <f>CONCATENATE(U779,V779,W779,X779,AA779)</f>
        <v>O23011745032024025506035</v>
      </c>
      <c r="AF779" s="172" t="str">
        <f>IFERROR(VLOOKUP(AD779,TD!$J$70:$K$93,2,0)," ")</f>
        <v>PM/0131/0106/45030350255</v>
      </c>
      <c r="AG779" s="130" t="s">
        <v>385</v>
      </c>
      <c r="AH779" s="188" t="s">
        <v>194</v>
      </c>
      <c r="AI779" s="184" t="str">
        <f>CONCATENATE(PAA[[#This Row],[Id Interno]],"-",PAA[[#This Row],[tipo de Contrato (TH talento humano - B/S bienes y/o servicios)]],"-",S779,"-",T779,"-",PAA[[#This Row],[Objeto de la contratación]])</f>
        <v>20260802-TH-8173-1--Adicion y prorroga cto 248-2026 Prestar  servicios de apoyo tecnico para realizar las inspecciones relacionadas con la emision de conceptos a cargo de la Subdirección de Gestión del Riesgo._SGR</v>
      </c>
    </row>
    <row r="780" spans="2:35" ht="56" x14ac:dyDescent="0.35">
      <c r="B780" s="146">
        <v>20260803</v>
      </c>
      <c r="C780" s="117" t="s">
        <v>1081</v>
      </c>
      <c r="D780" s="117" t="s">
        <v>105</v>
      </c>
      <c r="E780" s="117" t="s">
        <v>363</v>
      </c>
      <c r="F780" s="117" t="s">
        <v>145</v>
      </c>
      <c r="G780" s="126" t="s">
        <v>383</v>
      </c>
      <c r="H780" s="147">
        <v>2</v>
      </c>
      <c r="I780" s="147">
        <v>0</v>
      </c>
      <c r="J780" s="130">
        <v>8000000</v>
      </c>
      <c r="K780" s="148" t="s">
        <v>398</v>
      </c>
      <c r="L780" s="177" t="s">
        <v>156</v>
      </c>
      <c r="M780" s="186" t="s">
        <v>484</v>
      </c>
      <c r="N780" s="117" t="s">
        <v>198</v>
      </c>
      <c r="O780" s="186" t="s">
        <v>887</v>
      </c>
      <c r="P780" s="186" t="s">
        <v>348</v>
      </c>
      <c r="Q780" s="149">
        <v>80111600</v>
      </c>
      <c r="R780" s="186" t="s">
        <v>210</v>
      </c>
      <c r="S780" s="174" t="str">
        <f>MID(PAA[[#This Row],[Meta Proyecto de Inversión]],1,4)</f>
        <v>8173</v>
      </c>
      <c r="T780" s="174" t="str">
        <f>MID(PAA[[#This Row],[Meta Proyecto de Inversión]],6,2)</f>
        <v>1-</v>
      </c>
      <c r="U780" s="187" t="str">
        <f>IFERROR(VLOOKUP(N780,TD!$B$54:$F$58,2,0)," ")</f>
        <v>O230117</v>
      </c>
      <c r="V780" s="187" t="str">
        <f>IFERROR(VLOOKUP(N780,TD!$B$54:$F$58,3,0)," ")</f>
        <v>4503</v>
      </c>
      <c r="W780" s="187">
        <f>IFERROR(VLOOKUP(N780,TD!$B$54:$F$58,4,0)," ")</f>
        <v>20240255</v>
      </c>
      <c r="X780" s="186" t="s">
        <v>170</v>
      </c>
      <c r="Y780" s="172" t="str">
        <f>IFERROR(VLOOKUP(X780,TD!$J$55:$K$68,2,0)," ")</f>
        <v>Servicio de inspecciones técnicas realizadas</v>
      </c>
      <c r="Z780" s="180" t="str">
        <f>CONCATENATE(X780,"-",Y780)</f>
        <v>06-Servicio de inspecciones técnicas realizadas</v>
      </c>
      <c r="AA780" s="186" t="s">
        <v>223</v>
      </c>
      <c r="AB780" s="172" t="str">
        <f>IFERROR(VLOOKUP(AA780,TD!$N$55:$O$70,2,0)," ")</f>
        <v>Servicio prevención y control de incendios</v>
      </c>
      <c r="AC780" s="180" t="str">
        <f>CONCATENATE(AA780,"_",AB780)</f>
        <v>035_Servicio prevención y control de incendios</v>
      </c>
      <c r="AD780" s="180" t="str">
        <f>CONCATENATE(Z780," ",AC780)</f>
        <v>06-Servicio de inspecciones técnicas realizadas 035_Servicio prevención y control de incendios</v>
      </c>
      <c r="AE780" s="187" t="str">
        <f>CONCATENATE(U780,V780,W780,X780,AA780)</f>
        <v>O23011745032024025506035</v>
      </c>
      <c r="AF780" s="172" t="str">
        <f>IFERROR(VLOOKUP(AD780,TD!$J$70:$K$93,2,0)," ")</f>
        <v>PM/0131/0106/45030350255</v>
      </c>
      <c r="AG780" s="130" t="s">
        <v>385</v>
      </c>
      <c r="AH780" s="188" t="s">
        <v>194</v>
      </c>
      <c r="AI780" s="184" t="str">
        <f>CONCATENATE(PAA[[#This Row],[Id Interno]],"-",PAA[[#This Row],[tipo de Contrato (TH talento humano - B/S bienes y/o servicios)]],"-",S780,"-",T780,"-",PAA[[#This Row],[Objeto de la contratación]])</f>
        <v>20260803-TH-8173-1--Adicion y prorroga cto 106-2026 Prestar  servicios de apoyo tecnico para realizar las inspecciones relacionadas con la emision de conceptos a cargo de la Subdirección de Gestión del Riesgo._SGR</v>
      </c>
    </row>
    <row r="781" spans="2:35" ht="56" x14ac:dyDescent="0.35">
      <c r="B781" s="146">
        <v>20260804</v>
      </c>
      <c r="C781" s="117" t="s">
        <v>1082</v>
      </c>
      <c r="D781" s="117" t="s">
        <v>105</v>
      </c>
      <c r="E781" s="117" t="s">
        <v>363</v>
      </c>
      <c r="F781" s="117" t="s">
        <v>145</v>
      </c>
      <c r="G781" s="126" t="s">
        <v>381</v>
      </c>
      <c r="H781" s="147">
        <v>2</v>
      </c>
      <c r="I781" s="147">
        <v>0</v>
      </c>
      <c r="J781" s="130">
        <v>8000000</v>
      </c>
      <c r="K781" s="148" t="s">
        <v>398</v>
      </c>
      <c r="L781" s="177" t="s">
        <v>156</v>
      </c>
      <c r="M781" s="186" t="s">
        <v>484</v>
      </c>
      <c r="N781" s="117" t="s">
        <v>198</v>
      </c>
      <c r="O781" s="186" t="s">
        <v>887</v>
      </c>
      <c r="P781" s="186" t="s">
        <v>348</v>
      </c>
      <c r="Q781" s="149">
        <v>80111600</v>
      </c>
      <c r="R781" s="186" t="s">
        <v>210</v>
      </c>
      <c r="S781" s="174" t="str">
        <f>MID(PAA[[#This Row],[Meta Proyecto de Inversión]],1,4)</f>
        <v>8173</v>
      </c>
      <c r="T781" s="174" t="str">
        <f>MID(PAA[[#This Row],[Meta Proyecto de Inversión]],6,2)</f>
        <v>1-</v>
      </c>
      <c r="U781" s="187" t="str">
        <f>IFERROR(VLOOKUP(N781,TD!$B$54:$F$58,2,0)," ")</f>
        <v>O230117</v>
      </c>
      <c r="V781" s="187" t="str">
        <f>IFERROR(VLOOKUP(N781,TD!$B$54:$F$58,3,0)," ")</f>
        <v>4503</v>
      </c>
      <c r="W781" s="187">
        <f>IFERROR(VLOOKUP(N781,TD!$B$54:$F$58,4,0)," ")</f>
        <v>20240255</v>
      </c>
      <c r="X781" s="186" t="s">
        <v>170</v>
      </c>
      <c r="Y781" s="172" t="str">
        <f>IFERROR(VLOOKUP(X781,TD!$J$55:$K$68,2,0)," ")</f>
        <v>Servicio de inspecciones técnicas realizadas</v>
      </c>
      <c r="Z781" s="180" t="str">
        <f>CONCATENATE(X781,"-",Y781)</f>
        <v>06-Servicio de inspecciones técnicas realizadas</v>
      </c>
      <c r="AA781" s="186" t="s">
        <v>223</v>
      </c>
      <c r="AB781" s="172" t="str">
        <f>IFERROR(VLOOKUP(AA781,TD!$N$55:$O$70,2,0)," ")</f>
        <v>Servicio prevención y control de incendios</v>
      </c>
      <c r="AC781" s="180" t="str">
        <f>CONCATENATE(AA781,"_",AB781)</f>
        <v>035_Servicio prevención y control de incendios</v>
      </c>
      <c r="AD781" s="180" t="str">
        <f>CONCATENATE(Z781," ",AC781)</f>
        <v>06-Servicio de inspecciones técnicas realizadas 035_Servicio prevención y control de incendios</v>
      </c>
      <c r="AE781" s="187" t="str">
        <f>CONCATENATE(U781,V781,W781,X781,AA781)</f>
        <v>O23011745032024025506035</v>
      </c>
      <c r="AF781" s="172" t="str">
        <f>IFERROR(VLOOKUP(AD781,TD!$J$70:$K$93,2,0)," ")</f>
        <v>PM/0131/0106/45030350255</v>
      </c>
      <c r="AG781" s="130" t="s">
        <v>385</v>
      </c>
      <c r="AH781" s="188" t="s">
        <v>194</v>
      </c>
      <c r="AI781" s="184" t="str">
        <f>CONCATENATE(PAA[[#This Row],[Id Interno]],"-",PAA[[#This Row],[tipo de Contrato (TH talento humano - B/S bienes y/o servicios)]],"-",S781,"-",T781,"-",PAA[[#This Row],[Objeto de la contratación]])</f>
        <v>20260804-TH-8173-1--Adicion y prorroga cto 043-2026 Prestar  servicios de apoyo tecnico para realizar las inspecciones relacionadas con la emision de conceptos a cargo de la Subdirección de Gestión del Riesgo._SGR</v>
      </c>
    </row>
    <row r="782" spans="2:35" ht="56" x14ac:dyDescent="0.35">
      <c r="B782" s="155">
        <v>20260805</v>
      </c>
      <c r="C782" s="97" t="s">
        <v>1083</v>
      </c>
      <c r="D782" s="97" t="s">
        <v>105</v>
      </c>
      <c r="E782" s="97" t="s">
        <v>363</v>
      </c>
      <c r="F782" s="97" t="s">
        <v>145</v>
      </c>
      <c r="G782" s="124" t="s">
        <v>383</v>
      </c>
      <c r="H782" s="150">
        <v>1</v>
      </c>
      <c r="I782" s="150">
        <v>0</v>
      </c>
      <c r="J782" s="114">
        <v>4000000</v>
      </c>
      <c r="K782" s="121" t="s">
        <v>398</v>
      </c>
      <c r="L782" s="164" t="s">
        <v>156</v>
      </c>
      <c r="M782" s="171" t="s">
        <v>484</v>
      </c>
      <c r="N782" s="97" t="s">
        <v>198</v>
      </c>
      <c r="O782" s="171" t="s">
        <v>887</v>
      </c>
      <c r="P782" s="171" t="s">
        <v>348</v>
      </c>
      <c r="Q782" s="123">
        <v>80111600</v>
      </c>
      <c r="R782" s="171" t="s">
        <v>210</v>
      </c>
      <c r="S782" s="166" t="str">
        <f>MID(PAA[[#This Row],[Meta Proyecto de Inversión]],1,4)</f>
        <v>8173</v>
      </c>
      <c r="T782" s="166" t="str">
        <f>MID(PAA[[#This Row],[Meta Proyecto de Inversión]],6,2)</f>
        <v>1-</v>
      </c>
      <c r="U782" s="172" t="str">
        <f>IFERROR(VLOOKUP(N782,TD!$B$54:$F$58,2,0)," ")</f>
        <v>O230117</v>
      </c>
      <c r="V782" s="172" t="str">
        <f>IFERROR(VLOOKUP(N782,TD!$B$54:$F$58,3,0)," ")</f>
        <v>4503</v>
      </c>
      <c r="W782" s="172">
        <f>IFERROR(VLOOKUP(N782,TD!$B$54:$F$58,4,0)," ")</f>
        <v>20240255</v>
      </c>
      <c r="X782" s="171" t="s">
        <v>170</v>
      </c>
      <c r="Y782" s="172" t="str">
        <f>IFERROR(VLOOKUP(X782,TD!$J$55:$K$68,2,0)," ")</f>
        <v>Servicio de inspecciones técnicas realizadas</v>
      </c>
      <c r="Z782" s="168" t="str">
        <f>CONCATENATE(X782,"-",Y782)</f>
        <v>06-Servicio de inspecciones técnicas realizadas</v>
      </c>
      <c r="AA782" s="171" t="s">
        <v>223</v>
      </c>
      <c r="AB782" s="172" t="str">
        <f>IFERROR(VLOOKUP(AA782,TD!$N$55:$O$70,2,0)," ")</f>
        <v>Servicio prevención y control de incendios</v>
      </c>
      <c r="AC782" s="168" t="str">
        <f>CONCATENATE(AA782,"_",AB782)</f>
        <v>035_Servicio prevención y control de incendios</v>
      </c>
      <c r="AD782" s="168" t="str">
        <f>CONCATENATE(Z782," ",AC782)</f>
        <v>06-Servicio de inspecciones técnicas realizadas 035_Servicio prevención y control de incendios</v>
      </c>
      <c r="AE782" s="172" t="str">
        <f>CONCATENATE(U782,V782,W782,X782,AA782)</f>
        <v>O23011745032024025506035</v>
      </c>
      <c r="AF782" s="172" t="str">
        <f>IFERROR(VLOOKUP(AD782,TD!$J$70:$K$93,2,0)," ")</f>
        <v>PM/0131/0106/45030350255</v>
      </c>
      <c r="AG782" s="114" t="s">
        <v>385</v>
      </c>
      <c r="AH782" s="182" t="s">
        <v>194</v>
      </c>
      <c r="AI782" s="184" t="str">
        <f>CONCATENATE(PAA[[#This Row],[Id Interno]],"-",PAA[[#This Row],[tipo de Contrato (TH talento humano - B/S bienes y/o servicios)]],"-",S782,"-",T782,"-",PAA[[#This Row],[Objeto de la contratación]])</f>
        <v>20260805-TH-8173-1--Adicion y prorroga cto 274-2026 Prestar  servicios de apoyo tecnico para realizar las inspecciones relacionadas con la emision de conceptos a cargo de la Subdirección de Gestión del Riesgo._SGR</v>
      </c>
    </row>
    <row r="783" spans="2:35" ht="56" x14ac:dyDescent="0.35">
      <c r="B783" s="155">
        <v>20260806</v>
      </c>
      <c r="C783" s="97" t="s">
        <v>1084</v>
      </c>
      <c r="D783" s="97" t="s">
        <v>105</v>
      </c>
      <c r="E783" s="97" t="s">
        <v>363</v>
      </c>
      <c r="F783" s="97" t="s">
        <v>145</v>
      </c>
      <c r="G783" s="124" t="s">
        <v>1069</v>
      </c>
      <c r="H783" s="150">
        <v>1</v>
      </c>
      <c r="I783" s="150">
        <v>0</v>
      </c>
      <c r="J783" s="114">
        <v>4000000</v>
      </c>
      <c r="K783" s="121" t="s">
        <v>398</v>
      </c>
      <c r="L783" s="164" t="s">
        <v>156</v>
      </c>
      <c r="M783" s="171" t="s">
        <v>484</v>
      </c>
      <c r="N783" s="97" t="s">
        <v>198</v>
      </c>
      <c r="O783" s="171" t="s">
        <v>887</v>
      </c>
      <c r="P783" s="171" t="s">
        <v>348</v>
      </c>
      <c r="Q783" s="123">
        <v>80111600</v>
      </c>
      <c r="R783" s="171" t="s">
        <v>210</v>
      </c>
      <c r="S783" s="166" t="str">
        <f>MID(PAA[[#This Row],[Meta Proyecto de Inversión]],1,4)</f>
        <v>8173</v>
      </c>
      <c r="T783" s="166" t="str">
        <f>MID(PAA[[#This Row],[Meta Proyecto de Inversión]],6,2)</f>
        <v>1-</v>
      </c>
      <c r="U783" s="172" t="str">
        <f>IFERROR(VLOOKUP(N783,TD!$B$54:$F$58,2,0)," ")</f>
        <v>O230117</v>
      </c>
      <c r="V783" s="172" t="str">
        <f>IFERROR(VLOOKUP(N783,TD!$B$54:$F$58,3,0)," ")</f>
        <v>4503</v>
      </c>
      <c r="W783" s="172">
        <f>IFERROR(VLOOKUP(N783,TD!$B$54:$F$58,4,0)," ")</f>
        <v>20240255</v>
      </c>
      <c r="X783" s="171" t="s">
        <v>170</v>
      </c>
      <c r="Y783" s="172" t="str">
        <f>IFERROR(VLOOKUP(X783,TD!$J$55:$K$68,2,0)," ")</f>
        <v>Servicio de inspecciones técnicas realizadas</v>
      </c>
      <c r="Z783" s="168" t="str">
        <f>CONCATENATE(X783,"-",Y783)</f>
        <v>06-Servicio de inspecciones técnicas realizadas</v>
      </c>
      <c r="AA783" s="171" t="s">
        <v>223</v>
      </c>
      <c r="AB783" s="172" t="str">
        <f>IFERROR(VLOOKUP(AA783,TD!$N$55:$O$70,2,0)," ")</f>
        <v>Servicio prevención y control de incendios</v>
      </c>
      <c r="AC783" s="168" t="str">
        <f>CONCATENATE(AA783,"_",AB783)</f>
        <v>035_Servicio prevención y control de incendios</v>
      </c>
      <c r="AD783" s="168" t="str">
        <f>CONCATENATE(Z783," ",AC783)</f>
        <v>06-Servicio de inspecciones técnicas realizadas 035_Servicio prevención y control de incendios</v>
      </c>
      <c r="AE783" s="172" t="str">
        <f>CONCATENATE(U783,V783,W783,X783,AA783)</f>
        <v>O23011745032024025506035</v>
      </c>
      <c r="AF783" s="172" t="str">
        <f>IFERROR(VLOOKUP(AD783,TD!$J$70:$K$93,2,0)," ")</f>
        <v>PM/0131/0106/45030350255</v>
      </c>
      <c r="AG783" s="114" t="s">
        <v>385</v>
      </c>
      <c r="AH783" s="182" t="s">
        <v>194</v>
      </c>
      <c r="AI783" s="184" t="str">
        <f>CONCATENATE(PAA[[#This Row],[Id Interno]],"-",PAA[[#This Row],[tipo de Contrato (TH talento humano - B/S bienes y/o servicios)]],"-",S783,"-",T783,"-",PAA[[#This Row],[Objeto de la contratación]])</f>
        <v>20260806-TH-8173-1--Adicion y prorroga cto 183-2026 Prestar  servicios de apoyo tecnico para realizar las inspecciones relacionadas con la emision de conceptos a cargo de la Subdirección de Gestión del Riesgo._SGR</v>
      </c>
    </row>
    <row r="784" spans="2:35" ht="56" x14ac:dyDescent="0.35">
      <c r="B784" s="146">
        <v>20260807</v>
      </c>
      <c r="C784" s="117" t="s">
        <v>1085</v>
      </c>
      <c r="D784" s="117" t="s">
        <v>105</v>
      </c>
      <c r="E784" s="117" t="s">
        <v>363</v>
      </c>
      <c r="F784" s="117" t="s">
        <v>145</v>
      </c>
      <c r="G784" s="126" t="s">
        <v>1069</v>
      </c>
      <c r="H784" s="147">
        <v>2</v>
      </c>
      <c r="I784" s="147">
        <v>0</v>
      </c>
      <c r="J784" s="130">
        <v>8000000</v>
      </c>
      <c r="K784" s="148" t="s">
        <v>398</v>
      </c>
      <c r="L784" s="177" t="s">
        <v>156</v>
      </c>
      <c r="M784" s="186" t="s">
        <v>484</v>
      </c>
      <c r="N784" s="117" t="s">
        <v>198</v>
      </c>
      <c r="O784" s="186" t="s">
        <v>887</v>
      </c>
      <c r="P784" s="186" t="s">
        <v>348</v>
      </c>
      <c r="Q784" s="149">
        <v>80111600</v>
      </c>
      <c r="R784" s="186" t="s">
        <v>210</v>
      </c>
      <c r="S784" s="174" t="str">
        <f>MID(PAA[[#This Row],[Meta Proyecto de Inversión]],1,4)</f>
        <v>8173</v>
      </c>
      <c r="T784" s="174" t="str">
        <f>MID(PAA[[#This Row],[Meta Proyecto de Inversión]],6,2)</f>
        <v>1-</v>
      </c>
      <c r="U784" s="187" t="str">
        <f>IFERROR(VLOOKUP(N784,TD!$B$54:$F$58,2,0)," ")</f>
        <v>O230117</v>
      </c>
      <c r="V784" s="187" t="str">
        <f>IFERROR(VLOOKUP(N784,TD!$B$54:$F$58,3,0)," ")</f>
        <v>4503</v>
      </c>
      <c r="W784" s="187">
        <f>IFERROR(VLOOKUP(N784,TD!$B$54:$F$58,4,0)," ")</f>
        <v>20240255</v>
      </c>
      <c r="X784" s="171" t="s">
        <v>170</v>
      </c>
      <c r="Y784" s="172" t="str">
        <f>IFERROR(VLOOKUP(X784,TD!$J$55:$K$68,2,0)," ")</f>
        <v>Servicio de inspecciones técnicas realizadas</v>
      </c>
      <c r="Z784" s="180" t="str">
        <f>CONCATENATE(X784,"-",Y784)</f>
        <v>06-Servicio de inspecciones técnicas realizadas</v>
      </c>
      <c r="AA784" s="171" t="s">
        <v>223</v>
      </c>
      <c r="AB784" s="172" t="str">
        <f>IFERROR(VLOOKUP(AA784,TD!$N$55:$O$70,2,0)," ")</f>
        <v>Servicio prevención y control de incendios</v>
      </c>
      <c r="AC784" s="180" t="str">
        <f>CONCATENATE(AA784,"_",AB784)</f>
        <v>035_Servicio prevención y control de incendios</v>
      </c>
      <c r="AD784" s="180" t="str">
        <f>CONCATENATE(Z784," ",AC784)</f>
        <v>06-Servicio de inspecciones técnicas realizadas 035_Servicio prevención y control de incendios</v>
      </c>
      <c r="AE784" s="187" t="str">
        <f>CONCATENATE(U784,V784,W784,X784,AA784)</f>
        <v>O23011745032024025506035</v>
      </c>
      <c r="AF784" s="172" t="str">
        <f>IFERROR(VLOOKUP(AD784,TD!$J$70:$K$93,2,0)," ")</f>
        <v>PM/0131/0106/45030350255</v>
      </c>
      <c r="AG784" s="114" t="s">
        <v>385</v>
      </c>
      <c r="AH784" s="182" t="s">
        <v>194</v>
      </c>
      <c r="AI784" s="184" t="str">
        <f>CONCATENATE(PAA[[#This Row],[Id Interno]],"-",PAA[[#This Row],[tipo de Contrato (TH talento humano - B/S bienes y/o servicios)]],"-",S784,"-",T784,"-",PAA[[#This Row],[Objeto de la contratación]])</f>
        <v>20260807-TH-8173-1--Adicion y prorroga cto 184-2026 Prestar  servicios de apoyo tecnico para realizar las inspecciones relacionadas con la emision de conceptos a cargo de la Subdirección de Gestión del Riesgo._SGR</v>
      </c>
    </row>
    <row r="785" spans="2:35" ht="56" x14ac:dyDescent="0.35">
      <c r="B785" s="146">
        <v>20260808</v>
      </c>
      <c r="C785" s="117" t="s">
        <v>1086</v>
      </c>
      <c r="D785" s="117" t="s">
        <v>105</v>
      </c>
      <c r="E785" s="117" t="s">
        <v>363</v>
      </c>
      <c r="F785" s="117" t="s">
        <v>145</v>
      </c>
      <c r="G785" s="126" t="s">
        <v>1069</v>
      </c>
      <c r="H785" s="147">
        <v>1</v>
      </c>
      <c r="I785" s="147">
        <v>0</v>
      </c>
      <c r="J785" s="130">
        <v>4000000</v>
      </c>
      <c r="K785" s="148" t="s">
        <v>398</v>
      </c>
      <c r="L785" s="177" t="s">
        <v>156</v>
      </c>
      <c r="M785" s="186" t="s">
        <v>484</v>
      </c>
      <c r="N785" s="117" t="s">
        <v>198</v>
      </c>
      <c r="O785" s="186" t="s">
        <v>887</v>
      </c>
      <c r="P785" s="186" t="s">
        <v>348</v>
      </c>
      <c r="Q785" s="149">
        <v>80111600</v>
      </c>
      <c r="R785" s="186" t="s">
        <v>210</v>
      </c>
      <c r="S785" s="174" t="str">
        <f>MID(PAA[[#This Row],[Meta Proyecto de Inversión]],1,4)</f>
        <v>8173</v>
      </c>
      <c r="T785" s="174" t="str">
        <f>MID(PAA[[#This Row],[Meta Proyecto de Inversión]],6,2)</f>
        <v>1-</v>
      </c>
      <c r="U785" s="187" t="str">
        <f>IFERROR(VLOOKUP(N785,TD!$B$54:$F$58,2,0)," ")</f>
        <v>O230117</v>
      </c>
      <c r="V785" s="187" t="str">
        <f>IFERROR(VLOOKUP(N785,TD!$B$54:$F$58,3,0)," ")</f>
        <v>4503</v>
      </c>
      <c r="W785" s="187">
        <f>IFERROR(VLOOKUP(N785,TD!$B$54:$F$58,4,0)," ")</f>
        <v>20240255</v>
      </c>
      <c r="X785" s="186" t="s">
        <v>170</v>
      </c>
      <c r="Y785" s="172" t="str">
        <f>IFERROR(VLOOKUP(X785,TD!$J$55:$K$68,2,0)," ")</f>
        <v>Servicio de inspecciones técnicas realizadas</v>
      </c>
      <c r="Z785" s="180" t="str">
        <f>CONCATENATE(X785,"-",Y785)</f>
        <v>06-Servicio de inspecciones técnicas realizadas</v>
      </c>
      <c r="AA785" s="186" t="s">
        <v>223</v>
      </c>
      <c r="AB785" s="172" t="str">
        <f>IFERROR(VLOOKUP(AA785,TD!$N$55:$O$70,2,0)," ")</f>
        <v>Servicio prevención y control de incendios</v>
      </c>
      <c r="AC785" s="180" t="str">
        <f>CONCATENATE(AA785,"_",AB785)</f>
        <v>035_Servicio prevención y control de incendios</v>
      </c>
      <c r="AD785" s="180" t="str">
        <f>CONCATENATE(Z785," ",AC785)</f>
        <v>06-Servicio de inspecciones técnicas realizadas 035_Servicio prevención y control de incendios</v>
      </c>
      <c r="AE785" s="187" t="str">
        <f>CONCATENATE(U785,V785,W785,X785,AA785)</f>
        <v>O23011745032024025506035</v>
      </c>
      <c r="AF785" s="172" t="str">
        <f>IFERROR(VLOOKUP(AD785,TD!$J$70:$K$93,2,0)," ")</f>
        <v>PM/0131/0106/45030350255</v>
      </c>
      <c r="AG785" s="130" t="s">
        <v>385</v>
      </c>
      <c r="AH785" s="188" t="s">
        <v>194</v>
      </c>
      <c r="AI785" s="184" t="str">
        <f>CONCATENATE(PAA[[#This Row],[Id Interno]],"-",PAA[[#This Row],[tipo de Contrato (TH talento humano - B/S bienes y/o servicios)]],"-",S785,"-",T785,"-",PAA[[#This Row],[Objeto de la contratación]])</f>
        <v>20260808-TH-8173-1--Adicion y prorroga cto 447-2026  Prestar  servicios de apoyo tecnico para realizar las inspecciones relacionadas con la emision de conceptos a cargo de la Subdirección de Gestión del Riesgo._SGR</v>
      </c>
    </row>
    <row r="786" spans="2:35" ht="56" x14ac:dyDescent="0.35">
      <c r="B786" s="155">
        <v>20260809</v>
      </c>
      <c r="C786" s="97" t="s">
        <v>1087</v>
      </c>
      <c r="D786" s="97" t="s">
        <v>105</v>
      </c>
      <c r="E786" s="97" t="s">
        <v>363</v>
      </c>
      <c r="F786" s="97" t="s">
        <v>145</v>
      </c>
      <c r="G786" s="124" t="s">
        <v>1069</v>
      </c>
      <c r="H786" s="150">
        <v>3</v>
      </c>
      <c r="I786" s="150">
        <v>0</v>
      </c>
      <c r="J786" s="114">
        <v>12000000</v>
      </c>
      <c r="K786" s="148" t="s">
        <v>398</v>
      </c>
      <c r="L786" s="164" t="s">
        <v>156</v>
      </c>
      <c r="M786" s="171" t="s">
        <v>484</v>
      </c>
      <c r="N786" s="97" t="s">
        <v>198</v>
      </c>
      <c r="O786" s="171" t="s">
        <v>887</v>
      </c>
      <c r="P786" s="186" t="s">
        <v>348</v>
      </c>
      <c r="Q786" s="149">
        <v>80111600</v>
      </c>
      <c r="R786" s="171" t="s">
        <v>210</v>
      </c>
      <c r="S786" s="166" t="str">
        <f>MID(PAA[[#This Row],[Meta Proyecto de Inversión]],1,4)</f>
        <v>8173</v>
      </c>
      <c r="T786" s="166" t="str">
        <f>MID(PAA[[#This Row],[Meta Proyecto de Inversión]],6,2)</f>
        <v>1-</v>
      </c>
      <c r="U786" s="172" t="str">
        <f>IFERROR(VLOOKUP(N786,TD!$B$54:$F$58,2,0)," ")</f>
        <v>O230117</v>
      </c>
      <c r="V786" s="172" t="str">
        <f>IFERROR(VLOOKUP(N786,TD!$B$54:$F$58,3,0)," ")</f>
        <v>4503</v>
      </c>
      <c r="W786" s="172">
        <f>IFERROR(VLOOKUP(N786,TD!$B$54:$F$58,4,0)," ")</f>
        <v>20240255</v>
      </c>
      <c r="X786" s="171" t="s">
        <v>170</v>
      </c>
      <c r="Y786" s="172" t="str">
        <f>IFERROR(VLOOKUP(X786,TD!$J$55:$K$68,2,0)," ")</f>
        <v>Servicio de inspecciones técnicas realizadas</v>
      </c>
      <c r="Z786" s="168" t="str">
        <f>CONCATENATE(X786,"-",Y786)</f>
        <v>06-Servicio de inspecciones técnicas realizadas</v>
      </c>
      <c r="AA786" s="171" t="s">
        <v>223</v>
      </c>
      <c r="AB786" s="172" t="str">
        <f>IFERROR(VLOOKUP(AA786,TD!$N$55:$O$70,2,0)," ")</f>
        <v>Servicio prevención y control de incendios</v>
      </c>
      <c r="AC786" s="168" t="str">
        <f>CONCATENATE(AA786,"_",AB786)</f>
        <v>035_Servicio prevención y control de incendios</v>
      </c>
      <c r="AD786" s="168" t="str">
        <f>CONCATENATE(Z786," ",AC786)</f>
        <v>06-Servicio de inspecciones técnicas realizadas 035_Servicio prevención y control de incendios</v>
      </c>
      <c r="AE786" s="172" t="str">
        <f>CONCATENATE(U786,V786,W786,X786,AA786)</f>
        <v>O23011745032024025506035</v>
      </c>
      <c r="AF786" s="172" t="str">
        <f>IFERROR(VLOOKUP(AD786,TD!$J$70:$K$93,2,0)," ")</f>
        <v>PM/0131/0106/45030350255</v>
      </c>
      <c r="AG786" s="130" t="s">
        <v>385</v>
      </c>
      <c r="AH786" s="182" t="s">
        <v>194</v>
      </c>
      <c r="AI786" s="184" t="str">
        <f>CONCATENATE(PAA[[#This Row],[Id Interno]],"-",PAA[[#This Row],[tipo de Contrato (TH talento humano - B/S bienes y/o servicios)]],"-",S786,"-",T786,"-",PAA[[#This Row],[Objeto de la contratación]])</f>
        <v>20260809-TH-8173-1--Adicion y prorroga cto 441-2026 Prestar  servicios de apoyo tecnico para realizar las inspecciones relacionadas con la emision de conceptos a cargo de la Subdirección de Gestión del Riesgo._SGR</v>
      </c>
    </row>
    <row r="787" spans="2:35" s="56" customFormat="1" ht="56" x14ac:dyDescent="0.35">
      <c r="B787" s="155">
        <v>20260810</v>
      </c>
      <c r="C787" s="97" t="s">
        <v>1088</v>
      </c>
      <c r="D787" s="97" t="s">
        <v>105</v>
      </c>
      <c r="E787" s="97" t="s">
        <v>363</v>
      </c>
      <c r="F787" s="97" t="s">
        <v>144</v>
      </c>
      <c r="G787" s="124" t="s">
        <v>381</v>
      </c>
      <c r="H787" s="150">
        <v>3</v>
      </c>
      <c r="I787" s="150">
        <v>0</v>
      </c>
      <c r="J787" s="114">
        <v>21000000</v>
      </c>
      <c r="K787" s="121" t="s">
        <v>398</v>
      </c>
      <c r="L787" s="164" t="s">
        <v>156</v>
      </c>
      <c r="M787" s="171" t="s">
        <v>484</v>
      </c>
      <c r="N787" s="97" t="s">
        <v>198</v>
      </c>
      <c r="O787" s="171" t="s">
        <v>887</v>
      </c>
      <c r="P787" s="171" t="s">
        <v>348</v>
      </c>
      <c r="Q787" s="123">
        <v>80111600</v>
      </c>
      <c r="R787" s="171" t="s">
        <v>210</v>
      </c>
      <c r="S787" s="166" t="str">
        <f>MID(PAA[[#This Row],[Meta Proyecto de Inversión]],1,4)</f>
        <v>8173</v>
      </c>
      <c r="T787" s="166" t="str">
        <f>MID(PAA[[#This Row],[Meta Proyecto de Inversión]],6,2)</f>
        <v>1-</v>
      </c>
      <c r="U787" s="172" t="str">
        <f>IFERROR(VLOOKUP(N787,TD!$B$54:$F$58,2,0)," ")</f>
        <v>O230117</v>
      </c>
      <c r="V787" s="172" t="str">
        <f>IFERROR(VLOOKUP(N787,TD!$B$54:$F$58,3,0)," ")</f>
        <v>4503</v>
      </c>
      <c r="W787" s="172">
        <f>IFERROR(VLOOKUP(N787,TD!$B$54:$F$58,4,0)," ")</f>
        <v>20240255</v>
      </c>
      <c r="X787" s="171" t="s">
        <v>166</v>
      </c>
      <c r="Y787" s="172" t="str">
        <f>IFERROR(VLOOKUP(X787,TD!$J$55:$K$68,2,0)," ")</f>
        <v>Servicio de capacitaciones en gestión del riesgo de incendios  a la ciudadania.</v>
      </c>
      <c r="Z787" s="168" t="str">
        <f>CONCATENATE(X787,"-",Y787)</f>
        <v>05-Servicio de capacitaciones en gestión del riesgo de incendios  a la ciudadania.</v>
      </c>
      <c r="AA787" s="186" t="s">
        <v>223</v>
      </c>
      <c r="AB787" s="172" t="str">
        <f>IFERROR(VLOOKUP(AA787,TD!$N$55:$O$70,2,0)," ")</f>
        <v>Servicio prevención y control de incendios</v>
      </c>
      <c r="AC787" s="168" t="str">
        <f>CONCATENATE(AA787,"_",AB787)</f>
        <v>035_Servicio prevención y control de incendios</v>
      </c>
      <c r="AD787" s="168" t="str">
        <f>CONCATENATE(Z787," ",AC787)</f>
        <v>05-Servicio de capacitaciones en gestión del riesgo de incendios  a la ciudadania. 035_Servicio prevención y control de incendios</v>
      </c>
      <c r="AE787" s="172" t="str">
        <f>CONCATENATE(U787,V787,W787,X787,AA787)</f>
        <v>O23011745032024025505035</v>
      </c>
      <c r="AF787" s="172" t="str">
        <f>IFERROR(VLOOKUP(AD787,TD!$J$70:$K$93,2,0)," ")</f>
        <v>PM/0131/0105/45030350255</v>
      </c>
      <c r="AG787" s="130" t="s">
        <v>385</v>
      </c>
      <c r="AH787" s="182" t="s">
        <v>194</v>
      </c>
      <c r="AI787" s="184" t="str">
        <f>CONCATENATE(PAA[[#This Row],[Id Interno]],"-",PAA[[#This Row],[tipo de Contrato (TH talento humano - B/S bienes y/o servicios)]],"-",S787,"-",T787,"-",PAA[[#This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788" spans="2:35" ht="56" x14ac:dyDescent="0.35">
      <c r="B788" s="155">
        <v>20260811</v>
      </c>
      <c r="C788" s="97" t="s">
        <v>1089</v>
      </c>
      <c r="D788" s="97" t="s">
        <v>105</v>
      </c>
      <c r="E788" s="97" t="s">
        <v>363</v>
      </c>
      <c r="F788" s="97" t="s">
        <v>144</v>
      </c>
      <c r="G788" s="124" t="s">
        <v>1069</v>
      </c>
      <c r="H788" s="150">
        <v>3</v>
      </c>
      <c r="I788" s="150">
        <v>0</v>
      </c>
      <c r="J788" s="114">
        <v>11000000</v>
      </c>
      <c r="K788" s="121" t="s">
        <v>398</v>
      </c>
      <c r="L788" s="164" t="s">
        <v>156</v>
      </c>
      <c r="M788" s="171" t="s">
        <v>484</v>
      </c>
      <c r="N788" s="97" t="s">
        <v>198</v>
      </c>
      <c r="O788" s="171" t="s">
        <v>887</v>
      </c>
      <c r="P788" s="171" t="s">
        <v>348</v>
      </c>
      <c r="Q788" s="123">
        <v>80111600</v>
      </c>
      <c r="R788" s="171" t="s">
        <v>215</v>
      </c>
      <c r="S788" s="166" t="str">
        <f>MID(PAA[[#This Row],[Meta Proyecto de Inversión]],1,4)</f>
        <v>8173</v>
      </c>
      <c r="T788" s="166" t="str">
        <f>MID(PAA[[#This Row],[Meta Proyecto de Inversión]],6,2)</f>
        <v>6-</v>
      </c>
      <c r="U788" s="172" t="str">
        <f>IFERROR(VLOOKUP(N788,TD!$B$54:$F$58,2,0)," ")</f>
        <v>O230117</v>
      </c>
      <c r="V788" s="172" t="str">
        <f>IFERROR(VLOOKUP(N788,TD!$B$54:$F$58,3,0)," ")</f>
        <v>4503</v>
      </c>
      <c r="W788" s="172">
        <f>IFERROR(VLOOKUP(N788,TD!$B$54:$F$58,4,0)," ")</f>
        <v>20240255</v>
      </c>
      <c r="X788" s="171">
        <v>16</v>
      </c>
      <c r="Y788" s="172" t="str">
        <f>IFERROR(VLOOKUP(X788,TD!$J$55:$K$68,2,0)," ")</f>
        <v>Servicio de monitoreo y seguimiento para la gestión del riesgo</v>
      </c>
      <c r="Z788" s="168" t="str">
        <f>CONCATENATE(X788,"-",Y788)</f>
        <v>16-Servicio de monitoreo y seguimiento para la gestión del riesgo</v>
      </c>
      <c r="AA788" s="171" t="s">
        <v>224</v>
      </c>
      <c r="AB788" s="172" t="str">
        <f>IFERROR(VLOOKUP(AA788,TD!$N$55:$O$70,2,0)," ")</f>
        <v>Servicio de monitoreo y seguimiento para la gestión del riesgo</v>
      </c>
      <c r="AC788" s="168" t="str">
        <f>CONCATENATE(AA788,"_",AB788)</f>
        <v>018_Servicio de monitoreo y seguimiento para la gestión del riesgo</v>
      </c>
      <c r="AD788" s="168" t="str">
        <f>CONCATENATE(Z788," ",AC788)</f>
        <v>16-Servicio de monitoreo y seguimiento para la gestión del riesgo 018_Servicio de monitoreo y seguimiento para la gestión del riesgo</v>
      </c>
      <c r="AE788" s="172" t="str">
        <f>CONCATENATE(U788,V788,W788,X788,AA788)</f>
        <v>O23011745032024025516018</v>
      </c>
      <c r="AF788" s="172" t="str">
        <f>IFERROR(VLOOKUP(AD788,TD!$J$70:$K$93,2,0)," ")</f>
        <v>PM/0131/0116/45030180255</v>
      </c>
      <c r="AG788" s="114" t="s">
        <v>385</v>
      </c>
      <c r="AH788" s="182" t="s">
        <v>194</v>
      </c>
      <c r="AI788" s="184" t="str">
        <f>CONCATENATE(PAA[[#This Row],[Id Interno]],"-",PAA[[#This Row],[tipo de Contrato (TH talento humano - B/S bienes y/o servicios)]],"-",S788,"-",T788,"-",PAA[[#This Row],[Objeto de la contratación]])</f>
        <v>20260811-TH-8173-6--Adicion y prorroga cto 376-2026 Prestar servicios profesionales en las actividades de monitoreo del riesgo para la Subdirección de Gestión del Riesgo._SGR</v>
      </c>
    </row>
    <row r="789" spans="2:35" ht="42" x14ac:dyDescent="0.35">
      <c r="B789" s="155">
        <v>20260812</v>
      </c>
      <c r="C789" s="97" t="s">
        <v>1168</v>
      </c>
      <c r="D789" s="97" t="s">
        <v>105</v>
      </c>
      <c r="E789" s="97" t="s">
        <v>363</v>
      </c>
      <c r="F789" s="97" t="s">
        <v>144</v>
      </c>
      <c r="G789" s="124" t="s">
        <v>1069</v>
      </c>
      <c r="H789" s="150">
        <v>4</v>
      </c>
      <c r="I789" s="150">
        <v>0</v>
      </c>
      <c r="J789" s="114">
        <v>24000000</v>
      </c>
      <c r="K789" s="121" t="s">
        <v>398</v>
      </c>
      <c r="L789" s="164" t="s">
        <v>156</v>
      </c>
      <c r="M789" s="171" t="s">
        <v>484</v>
      </c>
      <c r="N789" s="97" t="s">
        <v>198</v>
      </c>
      <c r="O789" s="171" t="s">
        <v>887</v>
      </c>
      <c r="P789" s="171" t="s">
        <v>348</v>
      </c>
      <c r="Q789" s="123">
        <v>80111600</v>
      </c>
      <c r="R789" s="171" t="s">
        <v>210</v>
      </c>
      <c r="S789" s="166" t="str">
        <f>MID(PAA[[#This Row],[Meta Proyecto de Inversión]],1,4)</f>
        <v>8173</v>
      </c>
      <c r="T789" s="166" t="str">
        <f>MID(PAA[[#This Row],[Meta Proyecto de Inversión]],6,2)</f>
        <v>1-</v>
      </c>
      <c r="U789" s="172" t="str">
        <f>IFERROR(VLOOKUP(N789,TD!$B$54:$F$58,2,0)," ")</f>
        <v>O230117</v>
      </c>
      <c r="V789" s="172" t="str">
        <f>IFERROR(VLOOKUP(N789,TD!$B$54:$F$58,3,0)," ")</f>
        <v>4503</v>
      </c>
      <c r="W789" s="172">
        <f>IFERROR(VLOOKUP(N789,TD!$B$54:$F$58,4,0)," ")</f>
        <v>20240255</v>
      </c>
      <c r="X789" s="171" t="s">
        <v>166</v>
      </c>
      <c r="Y789" s="172" t="str">
        <f>IFERROR(VLOOKUP(X789,TD!$J$55:$K$68,2,0)," ")</f>
        <v>Servicio de capacitaciones en gestión del riesgo de incendios  a la ciudadania.</v>
      </c>
      <c r="Z789" s="168" t="str">
        <f>CONCATENATE(X789,"-",Y789)</f>
        <v>05-Servicio de capacitaciones en gestión del riesgo de incendios  a la ciudadania.</v>
      </c>
      <c r="AA789" s="171" t="s">
        <v>223</v>
      </c>
      <c r="AB789" s="172" t="str">
        <f>IFERROR(VLOOKUP(AA789,TD!$N$55:$O$70,2,0)," ")</f>
        <v>Servicio prevención y control de incendios</v>
      </c>
      <c r="AC789" s="168" t="str">
        <f>CONCATENATE(AA789,"_",AB789)</f>
        <v>035_Servicio prevención y control de incendios</v>
      </c>
      <c r="AD789" s="168" t="str">
        <f>CONCATENATE(Z789," ",AC789)</f>
        <v>05-Servicio de capacitaciones en gestión del riesgo de incendios  a la ciudadania. 035_Servicio prevención y control de incendios</v>
      </c>
      <c r="AE789" s="172" t="str">
        <f>CONCATENATE(U789,V789,W789,X789,AA789)</f>
        <v>O23011745032024025505035</v>
      </c>
      <c r="AF789" s="172" t="str">
        <f>IFERROR(VLOOKUP(AD789,TD!$J$70:$K$93,2,0)," ")</f>
        <v>PM/0131/0105/45030350255</v>
      </c>
      <c r="AG789" s="114" t="s">
        <v>385</v>
      </c>
      <c r="AH789" s="175" t="s">
        <v>193</v>
      </c>
      <c r="AI789" s="184" t="str">
        <f>CONCATENATE(PAA[[#This Row],[Id Interno]],"-",PAA[[#This Row],[tipo de Contrato (TH talento humano - B/S bienes y/o servicios)]],"-",S789,"-",T789,"-",PAA[[#This Row],[Objeto de la contratación]])</f>
        <v>20260812-TH-8173-1-- Prestar servicios profesionales liderando las actividades de Programas y Campañas de Prevención para la Subdirección de Gestión del Riesgo._SGR</v>
      </c>
    </row>
    <row r="790" spans="2:35" ht="56" x14ac:dyDescent="0.35">
      <c r="B790" s="155">
        <v>20260813</v>
      </c>
      <c r="C790" s="97" t="s">
        <v>1090</v>
      </c>
      <c r="D790" s="97" t="s">
        <v>105</v>
      </c>
      <c r="E790" s="97" t="s">
        <v>363</v>
      </c>
      <c r="F790" s="97" t="s">
        <v>144</v>
      </c>
      <c r="G790" s="124" t="s">
        <v>1069</v>
      </c>
      <c r="H790" s="150">
        <v>3</v>
      </c>
      <c r="I790" s="150">
        <v>0</v>
      </c>
      <c r="J790" s="114">
        <v>18000000</v>
      </c>
      <c r="K790" s="121" t="s">
        <v>398</v>
      </c>
      <c r="L790" s="164" t="s">
        <v>156</v>
      </c>
      <c r="M790" s="171" t="s">
        <v>484</v>
      </c>
      <c r="N790" s="97" t="s">
        <v>198</v>
      </c>
      <c r="O790" s="171" t="s">
        <v>887</v>
      </c>
      <c r="P790" s="171" t="s">
        <v>348</v>
      </c>
      <c r="Q790" s="123">
        <v>80111600</v>
      </c>
      <c r="R790" s="171" t="s">
        <v>210</v>
      </c>
      <c r="S790" s="166" t="str">
        <f>MID(PAA[[#This Row],[Meta Proyecto de Inversión]],1,4)</f>
        <v>8173</v>
      </c>
      <c r="T790" s="166" t="str">
        <f>MID(PAA[[#This Row],[Meta Proyecto de Inversión]],6,2)</f>
        <v>1-</v>
      </c>
      <c r="U790" s="172" t="str">
        <f>IFERROR(VLOOKUP(N790,TD!$B$54:$F$58,2,0)," ")</f>
        <v>O230117</v>
      </c>
      <c r="V790" s="172" t="str">
        <f>IFERROR(VLOOKUP(N790,TD!$B$54:$F$58,3,0)," ")</f>
        <v>4503</v>
      </c>
      <c r="W790" s="172">
        <f>IFERROR(VLOOKUP(N790,TD!$B$54:$F$58,4,0)," ")</f>
        <v>20240255</v>
      </c>
      <c r="X790" s="171" t="s">
        <v>166</v>
      </c>
      <c r="Y790" s="172" t="str">
        <f>IFERROR(VLOOKUP(X790,TD!$J$55:$K$68,2,0)," ")</f>
        <v>Servicio de capacitaciones en gestión del riesgo de incendios  a la ciudadania.</v>
      </c>
      <c r="Z790" s="168" t="str">
        <f>CONCATENATE(X790,"-",Y790)</f>
        <v>05-Servicio de capacitaciones en gestión del riesgo de incendios  a la ciudadania.</v>
      </c>
      <c r="AA790" s="171" t="s">
        <v>223</v>
      </c>
      <c r="AB790" s="172" t="str">
        <f>IFERROR(VLOOKUP(AA790,TD!$N$55:$O$70,2,0)," ")</f>
        <v>Servicio prevención y control de incendios</v>
      </c>
      <c r="AC790" s="168" t="str">
        <f>CONCATENATE(AA790,"_",AB790)</f>
        <v>035_Servicio prevención y control de incendios</v>
      </c>
      <c r="AD790" s="168" t="str">
        <f>CONCATENATE(Z790," ",AC790)</f>
        <v>05-Servicio de capacitaciones en gestión del riesgo de incendios  a la ciudadania. 035_Servicio prevención y control de incendios</v>
      </c>
      <c r="AE790" s="172" t="str">
        <f>CONCATENATE(U790,V790,W790,X790,AA790)</f>
        <v>O23011745032024025505035</v>
      </c>
      <c r="AF790" s="172" t="str">
        <f>IFERROR(VLOOKUP(AD790,TD!$J$70:$K$93,2,0)," ")</f>
        <v>PM/0131/0105/45030350255</v>
      </c>
      <c r="AG790" s="114" t="s">
        <v>385</v>
      </c>
      <c r="AH790" s="182" t="s">
        <v>194</v>
      </c>
      <c r="AI790" s="184" t="str">
        <f>CONCATENATE(PAA[[#This Row],[Id Interno]],"-",PAA[[#This Row],[tipo de Contrato (TH talento humano - B/S bienes y/o servicios)]],"-",S790,"-",T790,"-",PAA[[#This Row],[Objeto de la contratación]])</f>
        <v>20260813-TH-8173-1--Adicion y prorroga cto 174-2026  Prestar servicios profesionales en las actividades de Programas y Campañas de Prevención para la Subdirección de Gestión del Riesgo._SGR</v>
      </c>
    </row>
    <row r="791" spans="2:35" ht="56" x14ac:dyDescent="0.35">
      <c r="B791" s="155">
        <v>20260814</v>
      </c>
      <c r="C791" s="97" t="s">
        <v>1169</v>
      </c>
      <c r="D791" s="97" t="s">
        <v>105</v>
      </c>
      <c r="E791" s="97" t="s">
        <v>363</v>
      </c>
      <c r="F791" s="97" t="s">
        <v>144</v>
      </c>
      <c r="G791" s="124" t="s">
        <v>380</v>
      </c>
      <c r="H791" s="150">
        <v>6</v>
      </c>
      <c r="I791" s="150">
        <v>0</v>
      </c>
      <c r="J791" s="114">
        <v>30000000</v>
      </c>
      <c r="K791" s="121" t="s">
        <v>398</v>
      </c>
      <c r="L791" s="164" t="s">
        <v>156</v>
      </c>
      <c r="M791" s="171" t="s">
        <v>484</v>
      </c>
      <c r="N791" s="97" t="s">
        <v>198</v>
      </c>
      <c r="O791" s="171" t="s">
        <v>887</v>
      </c>
      <c r="P791" s="171" t="s">
        <v>348</v>
      </c>
      <c r="Q791" s="123">
        <v>80111600</v>
      </c>
      <c r="R791" s="171" t="s">
        <v>214</v>
      </c>
      <c r="S791" s="166" t="str">
        <f>MID(PAA[[#This Row],[Meta Proyecto de Inversión]],1,4)</f>
        <v>8173</v>
      </c>
      <c r="T791" s="166" t="str">
        <f>MID(PAA[[#This Row],[Meta Proyecto de Inversión]],6,2)</f>
        <v>5-</v>
      </c>
      <c r="U791" s="172" t="str">
        <f>IFERROR(VLOOKUP(N791,TD!$B$54:$F$58,2,0)," ")</f>
        <v>O230117</v>
      </c>
      <c r="V791" s="172" t="str">
        <f>IFERROR(VLOOKUP(N791,TD!$B$54:$F$58,3,0)," ")</f>
        <v>4503</v>
      </c>
      <c r="W791" s="172">
        <f>IFERROR(VLOOKUP(N791,TD!$B$54:$F$58,4,0)," ")</f>
        <v>20240255</v>
      </c>
      <c r="X791" s="171">
        <v>16</v>
      </c>
      <c r="Y791" s="172" t="str">
        <f>IFERROR(VLOOKUP(X791,TD!$J$55:$K$68,2,0)," ")</f>
        <v>Servicio de monitoreo y seguimiento para la gestión del riesgo</v>
      </c>
      <c r="Z791" s="168" t="str">
        <f>CONCATENATE(X791,"-",Y791)</f>
        <v>16-Servicio de monitoreo y seguimiento para la gestión del riesgo</v>
      </c>
      <c r="AA791" s="171" t="s">
        <v>224</v>
      </c>
      <c r="AB791" s="172" t="str">
        <f>IFERROR(VLOOKUP(AA791,TD!$N$55:$O$70,2,0)," ")</f>
        <v>Servicio de monitoreo y seguimiento para la gestión del riesgo</v>
      </c>
      <c r="AC791" s="168" t="str">
        <f>CONCATENATE(AA791,"_",AB791)</f>
        <v>018_Servicio de monitoreo y seguimiento para la gestión del riesgo</v>
      </c>
      <c r="AD791" s="168" t="str">
        <f>CONCATENATE(Z791," ",AC791)</f>
        <v>16-Servicio de monitoreo y seguimiento para la gestión del riesgo 018_Servicio de monitoreo y seguimiento para la gestión del riesgo</v>
      </c>
      <c r="AE791" s="172" t="str">
        <f>CONCATENATE(U791,V791,W791,X791,AA791)</f>
        <v>O23011745032024025516018</v>
      </c>
      <c r="AF791" s="172" t="str">
        <f>IFERROR(VLOOKUP(AD791,TD!$J$70:$K$93,2,0)," ")</f>
        <v>PM/0131/0116/45030180255</v>
      </c>
      <c r="AG791" s="114" t="s">
        <v>385</v>
      </c>
      <c r="AH791" s="182" t="s">
        <v>193</v>
      </c>
      <c r="AI791" s="184" t="str">
        <f>CONCATENATE(PAA[[#This Row],[Id Interno]],"-",PAA[[#This Row],[tipo de Contrato (TH talento humano - B/S bienes y/o servicios)]],"-",S791,"-",T791,"-",PAA[[#This Row],[Objeto de la contratación]])</f>
        <v>20260814-TH-8173-5--  Prestar  servicios profesionales  en las actividades de proyeccion e innovacion para la Subdirección de Gestión del Riesgo._SGR</v>
      </c>
    </row>
    <row r="792" spans="2:35" ht="42" x14ac:dyDescent="0.35">
      <c r="B792" s="155">
        <v>20260815</v>
      </c>
      <c r="C792" s="97" t="s">
        <v>531</v>
      </c>
      <c r="D792" s="97" t="s">
        <v>105</v>
      </c>
      <c r="E792" s="97" t="s">
        <v>363</v>
      </c>
      <c r="F792" s="97" t="s">
        <v>144</v>
      </c>
      <c r="G792" s="124" t="s">
        <v>381</v>
      </c>
      <c r="H792" s="150">
        <v>5</v>
      </c>
      <c r="I792" s="150">
        <v>0</v>
      </c>
      <c r="J792" s="114">
        <v>27000000</v>
      </c>
      <c r="K792" s="121" t="s">
        <v>398</v>
      </c>
      <c r="L792" s="164" t="s">
        <v>156</v>
      </c>
      <c r="M792" s="171" t="s">
        <v>484</v>
      </c>
      <c r="N792" s="97" t="s">
        <v>198</v>
      </c>
      <c r="O792" s="171" t="s">
        <v>887</v>
      </c>
      <c r="P792" s="171" t="s">
        <v>348</v>
      </c>
      <c r="Q792" s="123">
        <v>80111600</v>
      </c>
      <c r="R792" s="171" t="s">
        <v>214</v>
      </c>
      <c r="S792" s="166" t="str">
        <f>MID(PAA[[#This Row],[Meta Proyecto de Inversión]],1,4)</f>
        <v>8173</v>
      </c>
      <c r="T792" s="166" t="str">
        <f>MID(PAA[[#This Row],[Meta Proyecto de Inversión]],6,2)</f>
        <v>5-</v>
      </c>
      <c r="U792" s="172" t="str">
        <f>IFERROR(VLOOKUP(N792,TD!$B$54:$F$58,2,0)," ")</f>
        <v>O230117</v>
      </c>
      <c r="V792" s="172" t="str">
        <f>IFERROR(VLOOKUP(N792,TD!$B$54:$F$58,3,0)," ")</f>
        <v>4503</v>
      </c>
      <c r="W792" s="172">
        <f>IFERROR(VLOOKUP(N792,TD!$B$54:$F$58,4,0)," ")</f>
        <v>20240255</v>
      </c>
      <c r="X792" s="171">
        <v>16</v>
      </c>
      <c r="Y792" s="172" t="str">
        <f>IFERROR(VLOOKUP(X792,TD!$J$55:$K$68,2,0)," ")</f>
        <v>Servicio de monitoreo y seguimiento para la gestión del riesgo</v>
      </c>
      <c r="Z792" s="168" t="str">
        <f>CONCATENATE(X792,"-",Y792)</f>
        <v>16-Servicio de monitoreo y seguimiento para la gestión del riesgo</v>
      </c>
      <c r="AA792" s="171" t="s">
        <v>224</v>
      </c>
      <c r="AB792" s="172" t="str">
        <f>IFERROR(VLOOKUP(AA792,TD!$N$55:$O$70,2,0)," ")</f>
        <v>Servicio de monitoreo y seguimiento para la gestión del riesgo</v>
      </c>
      <c r="AC792" s="168" t="str">
        <f>CONCATENATE(AA792,"_",AB792)</f>
        <v>018_Servicio de monitoreo y seguimiento para la gestión del riesgo</v>
      </c>
      <c r="AD792" s="168" t="str">
        <f>CONCATENATE(Z792," ",AC792)</f>
        <v>16-Servicio de monitoreo y seguimiento para la gestión del riesgo 018_Servicio de monitoreo y seguimiento para la gestión del riesgo</v>
      </c>
      <c r="AE792" s="172" t="str">
        <f>CONCATENATE(U792,V792,W792,X792,AA792)</f>
        <v>O23011745032024025516018</v>
      </c>
      <c r="AF792" s="172" t="str">
        <f>IFERROR(VLOOKUP(AD792,TD!$J$70:$K$93,2,0)," ")</f>
        <v>PM/0131/0116/45030180255</v>
      </c>
      <c r="AG792" s="114" t="s">
        <v>385</v>
      </c>
      <c r="AH792" s="182" t="s">
        <v>193</v>
      </c>
      <c r="AI792" s="184" t="str">
        <f>CONCATENATE(PAA[[#This Row],[Id Interno]],"-",PAA[[#This Row],[tipo de Contrato (TH talento humano - B/S bienes y/o servicios)]],"-",S792,"-",T792,"-",PAA[[#This Row],[Objeto de la contratación]])</f>
        <v>20260815-TH-8173-5--Prestar  servicios profesionales  en las actividades de proyeccion e innovacion para la Subdirección de Gestión del Riesgo._SGR</v>
      </c>
    </row>
    <row r="793" spans="2:35" ht="42" x14ac:dyDescent="0.35">
      <c r="B793" s="155">
        <v>20260816</v>
      </c>
      <c r="C793" s="97" t="s">
        <v>1170</v>
      </c>
      <c r="D793" s="97" t="s">
        <v>105</v>
      </c>
      <c r="E793" s="97" t="s">
        <v>363</v>
      </c>
      <c r="F793" s="97" t="s">
        <v>144</v>
      </c>
      <c r="G793" s="124" t="s">
        <v>381</v>
      </c>
      <c r="H793" s="150">
        <v>4</v>
      </c>
      <c r="I793" s="150">
        <v>0</v>
      </c>
      <c r="J793" s="114">
        <v>14000000</v>
      </c>
      <c r="K793" s="121" t="s">
        <v>398</v>
      </c>
      <c r="L793" s="164" t="s">
        <v>156</v>
      </c>
      <c r="M793" s="171" t="s">
        <v>484</v>
      </c>
      <c r="N793" s="97" t="s">
        <v>198</v>
      </c>
      <c r="O793" s="171" t="s">
        <v>887</v>
      </c>
      <c r="P793" s="171" t="s">
        <v>348</v>
      </c>
      <c r="Q793" s="123">
        <v>80111600</v>
      </c>
      <c r="R793" s="171" t="s">
        <v>210</v>
      </c>
      <c r="S793" s="166" t="str">
        <f>MID(PAA[[#This Row],[Meta Proyecto de Inversión]],1,4)</f>
        <v>8173</v>
      </c>
      <c r="T793" s="166" t="str">
        <f>MID(PAA[[#This Row],[Meta Proyecto de Inversión]],6,2)</f>
        <v>1-</v>
      </c>
      <c r="U793" s="172" t="str">
        <f>IFERROR(VLOOKUP(N793,TD!$B$54:$F$58,2,0)," ")</f>
        <v>O230117</v>
      </c>
      <c r="V793" s="172" t="str">
        <f>IFERROR(VLOOKUP(N793,TD!$B$54:$F$58,3,0)," ")</f>
        <v>4503</v>
      </c>
      <c r="W793" s="172">
        <f>IFERROR(VLOOKUP(N793,TD!$B$54:$F$58,4,0)," ")</f>
        <v>20240255</v>
      </c>
      <c r="X793" s="171" t="s">
        <v>166</v>
      </c>
      <c r="Y793" s="172" t="str">
        <f>IFERROR(VLOOKUP(X793,TD!$J$55:$K$68,2,0)," ")</f>
        <v>Servicio de capacitaciones en gestión del riesgo de incendios  a la ciudadania.</v>
      </c>
      <c r="Z793" s="168" t="str">
        <f>CONCATENATE(X793,"-",Y793)</f>
        <v>05-Servicio de capacitaciones en gestión del riesgo de incendios  a la ciudadania.</v>
      </c>
      <c r="AA793" s="171" t="s">
        <v>223</v>
      </c>
      <c r="AB793" s="172" t="str">
        <f>IFERROR(VLOOKUP(AA793,TD!$N$55:$O$70,2,0)," ")</f>
        <v>Servicio prevención y control de incendios</v>
      </c>
      <c r="AC793" s="168" t="str">
        <f>CONCATENATE(AA793,"_",AB793)</f>
        <v>035_Servicio prevención y control de incendios</v>
      </c>
      <c r="AD793" s="168" t="str">
        <f>CONCATENATE(Z793," ",AC793)</f>
        <v>05-Servicio de capacitaciones en gestión del riesgo de incendios  a la ciudadania. 035_Servicio prevención y control de incendios</v>
      </c>
      <c r="AE793" s="172" t="str">
        <f>CONCATENATE(U793,V793,W793,X793,AA793)</f>
        <v>O23011745032024025505035</v>
      </c>
      <c r="AF793" s="172" t="str">
        <f>IFERROR(VLOOKUP(AD793,TD!$J$70:$K$93,2,0)," ")</f>
        <v>PM/0131/0105/45030350255</v>
      </c>
      <c r="AG793" s="114" t="s">
        <v>385</v>
      </c>
      <c r="AH793" s="175" t="s">
        <v>193</v>
      </c>
      <c r="AI793" s="184" t="str">
        <f>CONCATENATE(PAA[[#This Row],[Id Interno]],"-",PAA[[#This Row],[tipo de Contrato (TH talento humano - B/S bienes y/o servicios)]],"-",S793,"-",T793,"-",PAA[[#This Row],[Objeto de la contratación]])</f>
        <v>20260816-TH-8173-1-- Prestar servicios de apoyo en las actividades de Programas y Campañas de Prevención para la Subdirección de Gestión del Riesgo. _SGR</v>
      </c>
    </row>
    <row r="794" spans="2:35" ht="56" x14ac:dyDescent="0.35">
      <c r="B794" s="146">
        <v>20260817</v>
      </c>
      <c r="C794" s="117" t="s">
        <v>1091</v>
      </c>
      <c r="D794" s="117" t="s">
        <v>105</v>
      </c>
      <c r="E794" s="117" t="s">
        <v>363</v>
      </c>
      <c r="F794" s="117" t="s">
        <v>144</v>
      </c>
      <c r="G794" s="126" t="s">
        <v>381</v>
      </c>
      <c r="H794" s="147">
        <v>2</v>
      </c>
      <c r="I794" s="147">
        <v>0</v>
      </c>
      <c r="J794" s="130">
        <v>11000000</v>
      </c>
      <c r="K794" s="148" t="s">
        <v>398</v>
      </c>
      <c r="L794" s="177" t="s">
        <v>156</v>
      </c>
      <c r="M794" s="186" t="s">
        <v>484</v>
      </c>
      <c r="N794" s="117" t="s">
        <v>198</v>
      </c>
      <c r="O794" s="186" t="s">
        <v>887</v>
      </c>
      <c r="P794" s="186" t="s">
        <v>348</v>
      </c>
      <c r="Q794" s="149">
        <v>80111600</v>
      </c>
      <c r="R794" s="186" t="s">
        <v>215</v>
      </c>
      <c r="S794" s="174" t="str">
        <f>MID(PAA[[#This Row],[Meta Proyecto de Inversión]],1,4)</f>
        <v>8173</v>
      </c>
      <c r="T794" s="174" t="str">
        <f>MID(PAA[[#This Row],[Meta Proyecto de Inversión]],6,2)</f>
        <v>6-</v>
      </c>
      <c r="U794" s="187" t="str">
        <f>IFERROR(VLOOKUP(N794,TD!$B$54:$F$58,2,0)," ")</f>
        <v>O230117</v>
      </c>
      <c r="V794" s="187" t="str">
        <f>IFERROR(VLOOKUP(N794,TD!$B$54:$F$58,3,0)," ")</f>
        <v>4503</v>
      </c>
      <c r="W794" s="187">
        <f>IFERROR(VLOOKUP(N794,TD!$B$54:$F$58,4,0)," ")</f>
        <v>20240255</v>
      </c>
      <c r="X794" s="186">
        <v>16</v>
      </c>
      <c r="Y794" s="172" t="str">
        <f>IFERROR(VLOOKUP(X794,TD!$J$55:$K$68,2,0)," ")</f>
        <v>Servicio de monitoreo y seguimiento para la gestión del riesgo</v>
      </c>
      <c r="Z794" s="180" t="str">
        <f>CONCATENATE(X794,"-",Y794)</f>
        <v>16-Servicio de monitoreo y seguimiento para la gestión del riesgo</v>
      </c>
      <c r="AA794" s="186" t="s">
        <v>224</v>
      </c>
      <c r="AB794" s="172" t="str">
        <f>IFERROR(VLOOKUP(AA794,TD!$N$55:$O$70,2,0)," ")</f>
        <v>Servicio de monitoreo y seguimiento para la gestión del riesgo</v>
      </c>
      <c r="AC794" s="180" t="str">
        <f>CONCATENATE(AA794,"_",AB794)</f>
        <v>018_Servicio de monitoreo y seguimiento para la gestión del riesgo</v>
      </c>
      <c r="AD794" s="180" t="str">
        <f>CONCATENATE(Z794," ",AC794)</f>
        <v>16-Servicio de monitoreo y seguimiento para la gestión del riesgo 018_Servicio de monitoreo y seguimiento para la gestión del riesgo</v>
      </c>
      <c r="AE794" s="187" t="str">
        <f>CONCATENATE(U794,V794,W794,X794,AA794)</f>
        <v>O23011745032024025516018</v>
      </c>
      <c r="AF794" s="172" t="str">
        <f>IFERROR(VLOOKUP(AD794,TD!$J$70:$K$93,2,0)," ")</f>
        <v>PM/0131/0116/45030180255</v>
      </c>
      <c r="AG794" s="114" t="s">
        <v>385</v>
      </c>
      <c r="AH794" s="182" t="s">
        <v>194</v>
      </c>
      <c r="AI794" s="184" t="str">
        <f>CONCATENATE(PAA[[#This Row],[Id Interno]],"-",PAA[[#This Row],[tipo de Contrato (TH talento humano - B/S bienes y/o servicios)]],"-",S794,"-",T794,"-",PAA[[#This Row],[Objeto de la contratación]])</f>
        <v>20260817-TH-8173-6--Adicion y prorroga cto 187-2026 Prestar servicios profesionales en las actividades de monitoreo del riesgo para la Subdirección de Gestión del Riesgo._SGR</v>
      </c>
    </row>
    <row r="795" spans="2:35" s="56" customFormat="1" ht="92.5" customHeight="1" x14ac:dyDescent="0.35">
      <c r="B795" s="137">
        <v>20260818</v>
      </c>
      <c r="C795" s="117" t="s">
        <v>1156</v>
      </c>
      <c r="D795" s="125" t="s">
        <v>83</v>
      </c>
      <c r="E795" s="125" t="s">
        <v>402</v>
      </c>
      <c r="F795" s="125" t="s">
        <v>89</v>
      </c>
      <c r="G795" s="126" t="s">
        <v>378</v>
      </c>
      <c r="H795" s="132">
        <v>1</v>
      </c>
      <c r="I795" s="132">
        <v>0</v>
      </c>
      <c r="J795" s="127">
        <v>80000000</v>
      </c>
      <c r="K795" s="128" t="s">
        <v>398</v>
      </c>
      <c r="L795" s="176" t="s">
        <v>155</v>
      </c>
      <c r="M795" s="174" t="s">
        <v>422</v>
      </c>
      <c r="N795" s="125" t="s">
        <v>198</v>
      </c>
      <c r="O795" s="174" t="s">
        <v>887</v>
      </c>
      <c r="P795" s="174" t="s">
        <v>348</v>
      </c>
      <c r="Q795" s="129" t="s">
        <v>730</v>
      </c>
      <c r="R795" s="174" t="s">
        <v>351</v>
      </c>
      <c r="S795" s="174" t="str">
        <f>MID(PAA[[#This Row],[Meta Proyecto de Inversión]],1,4)</f>
        <v>8173</v>
      </c>
      <c r="T795" s="174" t="str">
        <f>MID(PAA[[#This Row],[Meta Proyecto de Inversión]],6,2)</f>
        <v>11</v>
      </c>
      <c r="U795" s="179" t="str">
        <f>IFERROR(VLOOKUP(N795,TD!$B$54:$F$58,2,0)," ")</f>
        <v>O230117</v>
      </c>
      <c r="V795" s="179" t="str">
        <f>IFERROR(VLOOKUP(N795,TD!$B$54:$F$58,3,0)," ")</f>
        <v>4503</v>
      </c>
      <c r="W795" s="179">
        <f>IFERROR(VLOOKUP(N795,TD!$B$54:$F$58,4,0)," ")</f>
        <v>20240255</v>
      </c>
      <c r="X795" s="174">
        <v>14</v>
      </c>
      <c r="Y795" s="172" t="str">
        <f>IFERROR(VLOOKUP(X795,TD!$J$55:$K$68,2,0)," ")</f>
        <v xml:space="preserve">Infraestructura física misional construida mantenida y dotada </v>
      </c>
      <c r="Z795" s="180" t="str">
        <f>CONCATENATE(X795,"-",Y795)</f>
        <v xml:space="preserve">14-Infraestructura física misional construida mantenida y dotada </v>
      </c>
      <c r="AA795" s="174" t="s">
        <v>225</v>
      </c>
      <c r="AB795" s="172" t="str">
        <f>IFERROR(VLOOKUP(AA795,TD!$N$55:$O$70,2,0)," ")</f>
        <v>Estaciones de bomberos adecuadas</v>
      </c>
      <c r="AC795" s="180" t="str">
        <f>CONCATENATE(AA795,"_",AB795)</f>
        <v>014_Estaciones de bomberos adecuadas</v>
      </c>
      <c r="AD795" s="180" t="str">
        <f>CONCATENATE(Z795," ",AC795)</f>
        <v>14-Infraestructura física misional construida mantenida y dotada  014_Estaciones de bomberos adecuadas</v>
      </c>
      <c r="AE795" s="179" t="str">
        <f>CONCATENATE(U795,V795,W795,X795,AA795)</f>
        <v>O23011745032024025514014</v>
      </c>
      <c r="AF795" s="172" t="str">
        <f>IFERROR(VLOOKUP(AD795,TD!$J$70:$K$93,2,0)," ")</f>
        <v>PM/0131/0114/45030140255</v>
      </c>
      <c r="AG795" s="130" t="s">
        <v>80</v>
      </c>
      <c r="AH795" s="181" t="s">
        <v>194</v>
      </c>
      <c r="AI795" s="184" t="str">
        <f>CONCATENATE(PAA[[#This Row],[Id Interno]],"-",PAA[[#This Row],[tipo de Contrato (TH talento humano - B/S bienes y/o servicios)]],"-",S795,"-",T795,"-",PAA[[#This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796" spans="2:35" s="56" customFormat="1" ht="70" x14ac:dyDescent="0.35">
      <c r="B796" s="143">
        <v>20260819</v>
      </c>
      <c r="C796" s="97" t="s">
        <v>1045</v>
      </c>
      <c r="D796" s="23" t="s">
        <v>114</v>
      </c>
      <c r="E796" s="23" t="s">
        <v>402</v>
      </c>
      <c r="F796" s="23" t="s">
        <v>89</v>
      </c>
      <c r="G796" s="124" t="s">
        <v>377</v>
      </c>
      <c r="H796" s="131">
        <v>2</v>
      </c>
      <c r="I796" s="131">
        <v>0</v>
      </c>
      <c r="J796" s="122">
        <v>52960812</v>
      </c>
      <c r="K796" s="88" t="s">
        <v>398</v>
      </c>
      <c r="L796" s="163" t="s">
        <v>155</v>
      </c>
      <c r="M796" s="166" t="s">
        <v>422</v>
      </c>
      <c r="N796" s="23" t="s">
        <v>330</v>
      </c>
      <c r="O796" s="166" t="s">
        <v>886</v>
      </c>
      <c r="P796" s="166" t="s">
        <v>161</v>
      </c>
      <c r="Q796" s="53" t="s">
        <v>726</v>
      </c>
      <c r="R796" s="166" t="s">
        <v>331</v>
      </c>
      <c r="S796" s="166" t="str">
        <f>MID(PAA[[#This Row],[Meta Proyecto de Inversión]],1,4)</f>
        <v>No a</v>
      </c>
      <c r="T796" s="166" t="str">
        <f>MID(PAA[[#This Row],[Meta Proyecto de Inversión]],6,2)</f>
        <v>li</v>
      </c>
      <c r="U796" s="167" t="str">
        <f>IFERROR(VLOOKUP(N796,TD!$B$54:$F$58,2,0)," ")</f>
        <v>NA</v>
      </c>
      <c r="V796" s="167" t="str">
        <f>IFERROR(VLOOKUP(N796,TD!$B$54:$F$58,3,0)," ")</f>
        <v>NA</v>
      </c>
      <c r="W796" s="167" t="str">
        <f>IFERROR(VLOOKUP(N796,TD!$B$54:$F$58,4,0)," ")</f>
        <v>NA</v>
      </c>
      <c r="X796" s="174" t="s">
        <v>335</v>
      </c>
      <c r="Y796" s="172" t="str">
        <f>IFERROR(VLOOKUP(X796,TD!$J$55:$K$68,2,0)," ")</f>
        <v>N/A</v>
      </c>
      <c r="Z796" s="168" t="str">
        <f>CONCATENATE(X796,"-",Y796)</f>
        <v>N/A-N/A</v>
      </c>
      <c r="AA796" s="174" t="s">
        <v>335</v>
      </c>
      <c r="AB796" s="172" t="str">
        <f>IFERROR(VLOOKUP(AA796,TD!$N$55:$O$70,2,0)," ")</f>
        <v>N/A</v>
      </c>
      <c r="AC796" s="168" t="str">
        <f>CONCATENATE(AA796,"_",AB796)</f>
        <v>N/A_N/A</v>
      </c>
      <c r="AD796" s="168" t="str">
        <f>CONCATENATE(Z796," ",AC796)</f>
        <v>N/A-N/A N/A_N/A</v>
      </c>
      <c r="AE796" s="167" t="str">
        <f>CONCATENATE(U796,V796,W796,X796,AA796)</f>
        <v>NANANAN/AN/A</v>
      </c>
      <c r="AF796" s="172" t="str">
        <f>IFERROR(VLOOKUP(AD796,TD!$J$70:$K$93,2,0)," ")</f>
        <v>N/A</v>
      </c>
      <c r="AG796" s="130" t="s">
        <v>332</v>
      </c>
      <c r="AH796" s="181" t="s">
        <v>194</v>
      </c>
      <c r="AI796" s="184" t="str">
        <f>CONCATENATE(PAA[[#This Row],[Id Interno]],"-",PAA[[#This Row],[tipo de Contrato (TH talento humano - B/S bienes y/o servicios)]],"-",S796,"-",T796,"-",PAA[[#This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797" spans="2:35" ht="56" x14ac:dyDescent="0.35">
      <c r="B797" s="146">
        <v>20260820</v>
      </c>
      <c r="C797" s="117" t="s">
        <v>973</v>
      </c>
      <c r="D797" s="125" t="s">
        <v>119</v>
      </c>
      <c r="E797" s="125" t="s">
        <v>402</v>
      </c>
      <c r="F797" s="125" t="s">
        <v>128</v>
      </c>
      <c r="G797" s="126" t="s">
        <v>382</v>
      </c>
      <c r="H797" s="132">
        <v>0</v>
      </c>
      <c r="I797" s="132">
        <v>0</v>
      </c>
      <c r="J797" s="127">
        <f>129627918-2455343</f>
        <v>127172575</v>
      </c>
      <c r="K797" s="128" t="s">
        <v>398</v>
      </c>
      <c r="L797" s="176" t="s">
        <v>155</v>
      </c>
      <c r="M797" s="174" t="s">
        <v>422</v>
      </c>
      <c r="N797" s="23" t="s">
        <v>198</v>
      </c>
      <c r="O797" s="174" t="s">
        <v>887</v>
      </c>
      <c r="P797" s="174" t="s">
        <v>162</v>
      </c>
      <c r="Q797" s="129" t="s">
        <v>335</v>
      </c>
      <c r="R797" s="174" t="s">
        <v>216</v>
      </c>
      <c r="S797" s="174" t="str">
        <f>MID(PAA[[#This Row],[Meta Proyecto de Inversión]],1,4)</f>
        <v>8173</v>
      </c>
      <c r="T797" s="174" t="str">
        <f>MID(PAA[[#This Row],[Meta Proyecto de Inversión]],6,2)</f>
        <v>7-</v>
      </c>
      <c r="U797" s="179" t="str">
        <f>IFERROR(VLOOKUP(N797,TD!$B$54:$F$58,2,0)," ")</f>
        <v>O230117</v>
      </c>
      <c r="V797" s="179" t="str">
        <f>IFERROR(VLOOKUP(N797,TD!$B$54:$F$58,3,0)," ")</f>
        <v>4503</v>
      </c>
      <c r="W797" s="179">
        <f>IFERROR(VLOOKUP(N797,TD!$B$54:$F$58,4,0)," ")</f>
        <v>20240255</v>
      </c>
      <c r="X797" s="174">
        <v>14</v>
      </c>
      <c r="Y797" s="172" t="str">
        <f>IFERROR(VLOOKUP(X797,TD!$J$55:$K$68,2,0)," ")</f>
        <v xml:space="preserve">Infraestructura física misional construida mantenida y dotada </v>
      </c>
      <c r="Z797" s="180" t="str">
        <f>CONCATENATE(X797,"-",Y797)</f>
        <v xml:space="preserve">14-Infraestructura física misional construida mantenida y dotada </v>
      </c>
      <c r="AA797" s="174" t="s">
        <v>225</v>
      </c>
      <c r="AB797" s="172" t="str">
        <f>IFERROR(VLOOKUP(AA797,TD!$N$55:$O$70,2,0)," ")</f>
        <v>Estaciones de bomberos adecuadas</v>
      </c>
      <c r="AC797" s="180" t="str">
        <f>CONCATENATE(AA797,"_",AB797)</f>
        <v>014_Estaciones de bomberos adecuadas</v>
      </c>
      <c r="AD797" s="180" t="str">
        <f>CONCATENATE(Z797," ",AC797)</f>
        <v>14-Infraestructura física misional construida mantenida y dotada  014_Estaciones de bomberos adecuadas</v>
      </c>
      <c r="AE797" s="179" t="str">
        <f>CONCATENATE(U797,V797,W797,X797,AA797)</f>
        <v>O23011745032024025514014</v>
      </c>
      <c r="AF797" s="172" t="str">
        <f>IFERROR(VLOOKUP(AD797,TD!$J$70:$K$93,2,0)," ")</f>
        <v>PM/0131/0114/45030140255</v>
      </c>
      <c r="AG797" s="130" t="s">
        <v>94</v>
      </c>
      <c r="AH797" s="181" t="s">
        <v>194</v>
      </c>
      <c r="AI797" s="184" t="str">
        <f>CONCATENATE(PAA[[#This Row],[Id Interno]],"-",PAA[[#This Row],[tipo de Contrato (TH talento humano - B/S bienes y/o servicios)]],"-",S797,"-",T797,"-",PAA[[#This Row],[Objeto de la contratación]])</f>
        <v xml:space="preserve">20260820-BS-8173-7--Reconocimiento y pago Pasivo Exigible FERIAS </v>
      </c>
    </row>
    <row r="798" spans="2:35" ht="56" x14ac:dyDescent="0.35">
      <c r="B798" s="143">
        <v>20260821</v>
      </c>
      <c r="C798" s="97" t="s">
        <v>1093</v>
      </c>
      <c r="D798" s="23" t="s">
        <v>105</v>
      </c>
      <c r="E798" s="23" t="s">
        <v>363</v>
      </c>
      <c r="F798" s="23" t="s">
        <v>144</v>
      </c>
      <c r="G798" s="124" t="s">
        <v>380</v>
      </c>
      <c r="H798" s="131">
        <v>5</v>
      </c>
      <c r="I798" s="131">
        <v>0</v>
      </c>
      <c r="J798" s="122">
        <v>32500000</v>
      </c>
      <c r="K798" s="88" t="s">
        <v>398</v>
      </c>
      <c r="L798" s="163" t="s">
        <v>36</v>
      </c>
      <c r="M798" s="166" t="s">
        <v>468</v>
      </c>
      <c r="N798" s="23" t="s">
        <v>197</v>
      </c>
      <c r="O798" s="166" t="s">
        <v>886</v>
      </c>
      <c r="P798" s="166" t="s">
        <v>348</v>
      </c>
      <c r="Q798" s="53">
        <v>80111600</v>
      </c>
      <c r="R798" s="166" t="s">
        <v>201</v>
      </c>
      <c r="S798" s="166" t="str">
        <f>MID(PAA[[#This Row],[Meta Proyecto de Inversión]],1,4)</f>
        <v>8126</v>
      </c>
      <c r="T798" s="166" t="str">
        <f>MID(PAA[[#This Row],[Meta Proyecto de Inversión]],6,2)</f>
        <v>2-</v>
      </c>
      <c r="U798" s="167" t="str">
        <f>IFERROR(VLOOKUP(N798,TD!$B$54:$F$58,2,0)," ")</f>
        <v>O230117</v>
      </c>
      <c r="V798" s="167" t="str">
        <f>IFERROR(VLOOKUP(N798,TD!$B$54:$F$58,3,0)," ")</f>
        <v>4599</v>
      </c>
      <c r="W798" s="167">
        <f>IFERROR(VLOOKUP(N798,TD!$B$54:$F$58,4,0)," ")</f>
        <v>20240207</v>
      </c>
      <c r="X798" s="166" t="s">
        <v>182</v>
      </c>
      <c r="Y798" s="172" t="str">
        <f>IFERROR(VLOOKUP(X798,TD!$J$55:$K$68,2,0)," ")</f>
        <v>Servicios para la planeación y sistemas de gestión y comunicación estratégica</v>
      </c>
      <c r="Z798" s="168" t="str">
        <f>CONCATENATE(X798,"-",Y798)</f>
        <v>13-Servicios para la planeación y sistemas de gestión y comunicación estratégica</v>
      </c>
      <c r="AA798" s="174" t="s">
        <v>229</v>
      </c>
      <c r="AB798" s="172" t="str">
        <f>IFERROR(VLOOKUP(AA798,TD!$N$55:$O$70,2,0)," ")</f>
        <v>Servicio de asistencia técnica</v>
      </c>
      <c r="AC798" s="168" t="str">
        <f>CONCATENATE(AA798,"_",AB798)</f>
        <v>031_Servicio de asistencia técnica</v>
      </c>
      <c r="AD798" s="168" t="str">
        <f>CONCATENATE(Z798," ",AC798)</f>
        <v>13-Servicios para la planeación y sistemas de gestión y comunicación estratégica 031_Servicio de asistencia técnica</v>
      </c>
      <c r="AE798" s="167" t="str">
        <f>CONCATENATE(U798,V798,W798,X798,AA798)</f>
        <v>O23011745992024020713031</v>
      </c>
      <c r="AF798" s="172" t="str">
        <f>IFERROR(VLOOKUP(AD798,TD!$J$70:$K$93,2,0)," ")</f>
        <v>PM/0131/0113/45990310207</v>
      </c>
      <c r="AG798" s="130" t="s">
        <v>385</v>
      </c>
      <c r="AH798" s="175" t="s">
        <v>193</v>
      </c>
      <c r="AI798" s="184" t="str">
        <f>CONCATENATE(PAA[[#This Row],[Id Interno]],"-",PAA[[#This Row],[tipo de Contrato (TH talento humano - B/S bienes y/o servicios)]],"-",S798,"-",T798,"-",PAA[[#This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799" spans="2:35" ht="126" x14ac:dyDescent="0.35">
      <c r="B799" s="143">
        <v>20260822</v>
      </c>
      <c r="C799" s="97" t="s">
        <v>1094</v>
      </c>
      <c r="D799" s="23" t="s">
        <v>105</v>
      </c>
      <c r="E799" s="23" t="s">
        <v>363</v>
      </c>
      <c r="F799" s="23" t="s">
        <v>144</v>
      </c>
      <c r="G799" s="124" t="s">
        <v>384</v>
      </c>
      <c r="H799" s="131">
        <v>1</v>
      </c>
      <c r="I799" s="131">
        <v>0</v>
      </c>
      <c r="J799" s="122">
        <v>10000000</v>
      </c>
      <c r="K799" s="88" t="s">
        <v>398</v>
      </c>
      <c r="L799" s="163" t="s">
        <v>36</v>
      </c>
      <c r="M799" s="166" t="s">
        <v>468</v>
      </c>
      <c r="N799" s="23" t="s">
        <v>197</v>
      </c>
      <c r="O799" s="166" t="s">
        <v>886</v>
      </c>
      <c r="P799" s="166" t="s">
        <v>348</v>
      </c>
      <c r="Q799" s="53">
        <v>80111600</v>
      </c>
      <c r="R799" s="166" t="s">
        <v>200</v>
      </c>
      <c r="S799" s="166" t="str">
        <f>MID(PAA[[#This Row],[Meta Proyecto de Inversión]],1,4)</f>
        <v>8126</v>
      </c>
      <c r="T799" s="166" t="str">
        <f>MID(PAA[[#This Row],[Meta Proyecto de Inversión]],6,2)</f>
        <v>1-</v>
      </c>
      <c r="U799" s="167" t="str">
        <f>IFERROR(VLOOKUP(N799,TD!$B$54:$F$58,2,0)," ")</f>
        <v>O230117</v>
      </c>
      <c r="V799" s="167" t="str">
        <f>IFERROR(VLOOKUP(N799,TD!$B$54:$F$58,3,0)," ")</f>
        <v>4599</v>
      </c>
      <c r="W799" s="167">
        <f>IFERROR(VLOOKUP(N799,TD!$B$54:$F$58,4,0)," ")</f>
        <v>20240207</v>
      </c>
      <c r="X799" s="166" t="s">
        <v>182</v>
      </c>
      <c r="Y799" s="172" t="str">
        <f>IFERROR(VLOOKUP(X799,TD!$J$55:$K$68,2,0)," ")</f>
        <v>Servicios para la planeación y sistemas de gestión y comunicación estratégica</v>
      </c>
      <c r="Z799" s="168" t="str">
        <f>CONCATENATE(X799,"-",Y799)</f>
        <v>13-Servicios para la planeación y sistemas de gestión y comunicación estratégica</v>
      </c>
      <c r="AA799" s="166" t="s">
        <v>229</v>
      </c>
      <c r="AB799" s="172" t="str">
        <f>IFERROR(VLOOKUP(AA799,TD!$N$55:$O$70,2,0)," ")</f>
        <v>Servicio de asistencia técnica</v>
      </c>
      <c r="AC799" s="168" t="str">
        <f>CONCATENATE(AA799,"_",AB799)</f>
        <v>031_Servicio de asistencia técnica</v>
      </c>
      <c r="AD799" s="168" t="str">
        <f>CONCATENATE(Z799," ",AC799)</f>
        <v>13-Servicios para la planeación y sistemas de gestión y comunicación estratégica 031_Servicio de asistencia técnica</v>
      </c>
      <c r="AE799" s="167" t="str">
        <f>CONCATENATE(U799,V799,W799,X799,AA799)</f>
        <v>O23011745992024020713031</v>
      </c>
      <c r="AF799" s="172" t="str">
        <f>IFERROR(VLOOKUP(AD799,TD!$J$70:$K$93,2,0)," ")</f>
        <v>PM/0131/0113/45990310207</v>
      </c>
      <c r="AG799" s="114" t="s">
        <v>385</v>
      </c>
      <c r="AH799" s="175" t="s">
        <v>194</v>
      </c>
      <c r="AI799" s="184" t="str">
        <f>CONCATENATE(PAA[[#This Row],[Id Interno]],"-",PAA[[#This Row],[tipo de Contrato (TH talento humano - B/S bienes y/o servicios)]],"-",S799,"-",T799,"-",PAA[[#This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800" spans="2:35" ht="84" x14ac:dyDescent="0.35">
      <c r="B800" s="143">
        <v>20260823</v>
      </c>
      <c r="C800" s="97" t="s">
        <v>1095</v>
      </c>
      <c r="D800" s="23" t="s">
        <v>105</v>
      </c>
      <c r="E800" s="23" t="s">
        <v>363</v>
      </c>
      <c r="F800" s="23" t="s">
        <v>144</v>
      </c>
      <c r="G800" s="124" t="s">
        <v>381</v>
      </c>
      <c r="H800" s="131">
        <v>3</v>
      </c>
      <c r="I800" s="131">
        <v>0</v>
      </c>
      <c r="J800" s="122">
        <v>12600000</v>
      </c>
      <c r="K800" s="88" t="s">
        <v>398</v>
      </c>
      <c r="L800" s="163" t="s">
        <v>36</v>
      </c>
      <c r="M800" s="166" t="s">
        <v>468</v>
      </c>
      <c r="N800" s="23" t="s">
        <v>197</v>
      </c>
      <c r="O800" s="166" t="s">
        <v>886</v>
      </c>
      <c r="P800" s="166" t="s">
        <v>348</v>
      </c>
      <c r="Q800" s="53">
        <v>80111600</v>
      </c>
      <c r="R800" s="166" t="s">
        <v>200</v>
      </c>
      <c r="S800" s="166" t="str">
        <f>MID(PAA[[#This Row],[Meta Proyecto de Inversión]],1,4)</f>
        <v>8126</v>
      </c>
      <c r="T800" s="166" t="str">
        <f>MID(PAA[[#This Row],[Meta Proyecto de Inversión]],6,2)</f>
        <v>1-</v>
      </c>
      <c r="U800" s="167" t="str">
        <f>IFERROR(VLOOKUP(N800,TD!$B$54:$F$58,2,0)," ")</f>
        <v>O230117</v>
      </c>
      <c r="V800" s="167" t="str">
        <f>IFERROR(VLOOKUP(N800,TD!$B$54:$F$58,3,0)," ")</f>
        <v>4599</v>
      </c>
      <c r="W800" s="167">
        <f>IFERROR(VLOOKUP(N800,TD!$B$54:$F$58,4,0)," ")</f>
        <v>20240207</v>
      </c>
      <c r="X800" s="166" t="s">
        <v>182</v>
      </c>
      <c r="Y800" s="172" t="str">
        <f>IFERROR(VLOOKUP(X800,TD!$J$55:$K$68,2,0)," ")</f>
        <v>Servicios para la planeación y sistemas de gestión y comunicación estratégica</v>
      </c>
      <c r="Z800" s="168" t="str">
        <f>CONCATENATE(X800,"-",Y800)</f>
        <v>13-Servicios para la planeación y sistemas de gestión y comunicación estratégica</v>
      </c>
      <c r="AA800" s="166" t="s">
        <v>229</v>
      </c>
      <c r="AB800" s="172" t="str">
        <f>IFERROR(VLOOKUP(AA800,TD!$N$55:$O$70,2,0)," ")</f>
        <v>Servicio de asistencia técnica</v>
      </c>
      <c r="AC800" s="168" t="str">
        <f>CONCATENATE(AA800,"_",AB800)</f>
        <v>031_Servicio de asistencia técnica</v>
      </c>
      <c r="AD800" s="168" t="str">
        <f>CONCATENATE(Z800," ",AC800)</f>
        <v>13-Servicios para la planeación y sistemas de gestión y comunicación estratégica 031_Servicio de asistencia técnica</v>
      </c>
      <c r="AE800" s="167" t="str">
        <f>CONCATENATE(U800,V800,W800,X800,AA800)</f>
        <v>O23011745992024020713031</v>
      </c>
      <c r="AF800" s="172" t="str">
        <f>IFERROR(VLOOKUP(AD800,TD!$J$70:$K$93,2,0)," ")</f>
        <v>PM/0131/0113/45990310207</v>
      </c>
      <c r="AG800" s="114" t="s">
        <v>385</v>
      </c>
      <c r="AH800" s="175" t="s">
        <v>194</v>
      </c>
      <c r="AI800" s="184" t="str">
        <f>CONCATENATE(PAA[[#This Row],[Id Interno]],"-",PAA[[#This Row],[tipo de Contrato (TH talento humano - B/S bienes y/o servicios)]],"-",S800,"-",T800,"-",PAA[[#This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801" spans="2:35" ht="84" x14ac:dyDescent="0.35">
      <c r="B801" s="137">
        <v>20260824</v>
      </c>
      <c r="C801" s="117" t="s">
        <v>1096</v>
      </c>
      <c r="D801" s="125" t="s">
        <v>105</v>
      </c>
      <c r="E801" s="125" t="s">
        <v>363</v>
      </c>
      <c r="F801" s="125" t="s">
        <v>144</v>
      </c>
      <c r="G801" s="126" t="s">
        <v>384</v>
      </c>
      <c r="H801" s="132">
        <v>1</v>
      </c>
      <c r="I801" s="132">
        <v>0</v>
      </c>
      <c r="J801" s="127">
        <v>9000000</v>
      </c>
      <c r="K801" s="128" t="s">
        <v>398</v>
      </c>
      <c r="L801" s="163" t="s">
        <v>36</v>
      </c>
      <c r="M801" s="166" t="s">
        <v>468</v>
      </c>
      <c r="N801" s="125" t="s">
        <v>197</v>
      </c>
      <c r="O801" s="166" t="s">
        <v>886</v>
      </c>
      <c r="P801" s="166" t="s">
        <v>348</v>
      </c>
      <c r="Q801" s="53">
        <v>80111600</v>
      </c>
      <c r="R801" s="166" t="s">
        <v>200</v>
      </c>
      <c r="S801" s="174" t="str">
        <f>MID(PAA[[#This Row],[Meta Proyecto de Inversión]],1,4)</f>
        <v>8126</v>
      </c>
      <c r="T801" s="174" t="str">
        <f>MID(PAA[[#This Row],[Meta Proyecto de Inversión]],6,2)</f>
        <v>1-</v>
      </c>
      <c r="U801" s="179" t="str">
        <f>IFERROR(VLOOKUP(N801,TD!$B$54:$F$58,2,0)," ")</f>
        <v>O230117</v>
      </c>
      <c r="V801" s="179" t="str">
        <f>IFERROR(VLOOKUP(N801,TD!$B$54:$F$58,3,0)," ")</f>
        <v>4599</v>
      </c>
      <c r="W801" s="179">
        <f>IFERROR(VLOOKUP(N801,TD!$B$54:$F$58,4,0)," ")</f>
        <v>20240207</v>
      </c>
      <c r="X801" s="166" t="s">
        <v>182</v>
      </c>
      <c r="Y801" s="172" t="str">
        <f>IFERROR(VLOOKUP(X801,TD!$J$55:$K$68,2,0)," ")</f>
        <v>Servicios para la planeación y sistemas de gestión y comunicación estratégica</v>
      </c>
      <c r="Z801" s="180" t="str">
        <f>CONCATENATE(X801,"-",Y801)</f>
        <v>13-Servicios para la planeación y sistemas de gestión y comunicación estratégica</v>
      </c>
      <c r="AA801" s="166" t="s">
        <v>229</v>
      </c>
      <c r="AB801" s="172" t="str">
        <f>IFERROR(VLOOKUP(AA801,TD!$N$55:$O$70,2,0)," ")</f>
        <v>Servicio de asistencia técnica</v>
      </c>
      <c r="AC801" s="180" t="str">
        <f>CONCATENATE(AA801,"_",AB801)</f>
        <v>031_Servicio de asistencia técnica</v>
      </c>
      <c r="AD801" s="180" t="str">
        <f>CONCATENATE(Z801," ",AC801)</f>
        <v>13-Servicios para la planeación y sistemas de gestión y comunicación estratégica 031_Servicio de asistencia técnica</v>
      </c>
      <c r="AE801" s="179" t="str">
        <f>CONCATENATE(U801,V801,W801,X801,AA801)</f>
        <v>O23011745992024020713031</v>
      </c>
      <c r="AF801" s="172" t="str">
        <f>IFERROR(VLOOKUP(AD801,TD!$J$70:$K$93,2,0)," ")</f>
        <v>PM/0131/0113/45990310207</v>
      </c>
      <c r="AG801" s="114" t="s">
        <v>385</v>
      </c>
      <c r="AH801" s="181" t="s">
        <v>194</v>
      </c>
      <c r="AI801" s="184" t="str">
        <f>CONCATENATE(PAA[[#This Row],[Id Interno]],"-",PAA[[#This Row],[tipo de Contrato (TH talento humano - B/S bienes y/o servicios)]],"-",S801,"-",T801,"-",PAA[[#This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802" spans="2:35" ht="98" x14ac:dyDescent="0.35">
      <c r="B802" s="143">
        <v>20260825</v>
      </c>
      <c r="C802" s="97" t="s">
        <v>1097</v>
      </c>
      <c r="D802" s="23" t="s">
        <v>105</v>
      </c>
      <c r="E802" s="23" t="s">
        <v>363</v>
      </c>
      <c r="F802" s="23" t="s">
        <v>144</v>
      </c>
      <c r="G802" s="124" t="s">
        <v>384</v>
      </c>
      <c r="H802" s="131">
        <v>1</v>
      </c>
      <c r="I802" s="131">
        <v>0</v>
      </c>
      <c r="J802" s="122">
        <v>8000000</v>
      </c>
      <c r="K802" s="88" t="s">
        <v>398</v>
      </c>
      <c r="L802" s="163" t="s">
        <v>36</v>
      </c>
      <c r="M802" s="166" t="s">
        <v>468</v>
      </c>
      <c r="N802" s="23" t="s">
        <v>197</v>
      </c>
      <c r="O802" s="166" t="s">
        <v>886</v>
      </c>
      <c r="P802" s="166" t="s">
        <v>348</v>
      </c>
      <c r="Q802" s="53">
        <v>80111600</v>
      </c>
      <c r="R802" s="166" t="s">
        <v>200</v>
      </c>
      <c r="S802" s="166" t="str">
        <f>MID(PAA[[#This Row],[Meta Proyecto de Inversión]],1,4)</f>
        <v>8126</v>
      </c>
      <c r="T802" s="166" t="str">
        <f>MID(PAA[[#This Row],[Meta Proyecto de Inversión]],6,2)</f>
        <v>1-</v>
      </c>
      <c r="U802" s="167" t="str">
        <f>IFERROR(VLOOKUP(N802,TD!$B$54:$F$58,2,0)," ")</f>
        <v>O230117</v>
      </c>
      <c r="V802" s="167" t="str">
        <f>IFERROR(VLOOKUP(N802,TD!$B$54:$F$58,3,0)," ")</f>
        <v>4599</v>
      </c>
      <c r="W802" s="167">
        <f>IFERROR(VLOOKUP(N802,TD!$B$54:$F$58,4,0)," ")</f>
        <v>20240207</v>
      </c>
      <c r="X802" s="166" t="s">
        <v>182</v>
      </c>
      <c r="Y802" s="172" t="str">
        <f>IFERROR(VLOOKUP(X802,TD!$J$55:$K$68,2,0)," ")</f>
        <v>Servicios para la planeación y sistemas de gestión y comunicación estratégica</v>
      </c>
      <c r="Z802" s="168" t="str">
        <f>CONCATENATE(X802,"-",Y802)</f>
        <v>13-Servicios para la planeación y sistemas de gestión y comunicación estratégica</v>
      </c>
      <c r="AA802" s="166" t="s">
        <v>229</v>
      </c>
      <c r="AB802" s="172" t="str">
        <f>IFERROR(VLOOKUP(AA802,TD!$N$55:$O$70,2,0)," ")</f>
        <v>Servicio de asistencia técnica</v>
      </c>
      <c r="AC802" s="168" t="str">
        <f>CONCATENATE(AA802,"_",AB802)</f>
        <v>031_Servicio de asistencia técnica</v>
      </c>
      <c r="AD802" s="168" t="str">
        <f>CONCATENATE(Z802," ",AC802)</f>
        <v>13-Servicios para la planeación y sistemas de gestión y comunicación estratégica 031_Servicio de asistencia técnica</v>
      </c>
      <c r="AE802" s="167" t="str">
        <f>CONCATENATE(U802,V802,W802,X802,AA802)</f>
        <v>O23011745992024020713031</v>
      </c>
      <c r="AF802" s="172" t="str">
        <f>IFERROR(VLOOKUP(AD802,TD!$J$70:$K$93,2,0)," ")</f>
        <v>PM/0131/0113/45990310207</v>
      </c>
      <c r="AG802" s="114" t="s">
        <v>385</v>
      </c>
      <c r="AH802" s="175" t="s">
        <v>194</v>
      </c>
      <c r="AI802" s="184" t="str">
        <f>CONCATENATE(PAA[[#This Row],[Id Interno]],"-",PAA[[#This Row],[tipo de Contrato (TH talento humano - B/S bienes y/o servicios)]],"-",S802,"-",T802,"-",PAA[[#This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803" spans="2:35" ht="84" x14ac:dyDescent="0.35">
      <c r="B803" s="137">
        <v>20260826</v>
      </c>
      <c r="C803" s="117" t="s">
        <v>1098</v>
      </c>
      <c r="D803" s="125" t="s">
        <v>105</v>
      </c>
      <c r="E803" s="125" t="s">
        <v>363</v>
      </c>
      <c r="F803" s="125" t="s">
        <v>144</v>
      </c>
      <c r="G803" s="126" t="s">
        <v>382</v>
      </c>
      <c r="H803" s="132">
        <v>3</v>
      </c>
      <c r="I803" s="132">
        <v>0</v>
      </c>
      <c r="J803" s="127">
        <v>21000000</v>
      </c>
      <c r="K803" s="128" t="s">
        <v>398</v>
      </c>
      <c r="L803" s="176" t="s">
        <v>36</v>
      </c>
      <c r="M803" s="174" t="s">
        <v>468</v>
      </c>
      <c r="N803" s="125" t="s">
        <v>197</v>
      </c>
      <c r="O803" s="174" t="s">
        <v>886</v>
      </c>
      <c r="P803" s="174" t="s">
        <v>348</v>
      </c>
      <c r="Q803" s="129">
        <v>80111600</v>
      </c>
      <c r="R803" s="174" t="s">
        <v>200</v>
      </c>
      <c r="S803" s="174" t="str">
        <f>MID(PAA[[#This Row],[Meta Proyecto de Inversión]],1,4)</f>
        <v>8126</v>
      </c>
      <c r="T803" s="174" t="str">
        <f>MID(PAA[[#This Row],[Meta Proyecto de Inversión]],6,2)</f>
        <v>1-</v>
      </c>
      <c r="U803" s="179" t="str">
        <f>IFERROR(VLOOKUP(N803,TD!$B$54:$F$58,2,0)," ")</f>
        <v>O230117</v>
      </c>
      <c r="V803" s="179" t="str">
        <f>IFERROR(VLOOKUP(N803,TD!$B$54:$F$58,3,0)," ")</f>
        <v>4599</v>
      </c>
      <c r="W803" s="179">
        <f>IFERROR(VLOOKUP(N803,TD!$B$54:$F$58,4,0)," ")</f>
        <v>20240207</v>
      </c>
      <c r="X803" s="166" t="s">
        <v>182</v>
      </c>
      <c r="Y803" s="172" t="str">
        <f>IFERROR(VLOOKUP(X803,TD!$J$55:$K$68,2,0)," ")</f>
        <v>Servicios para la planeación y sistemas de gestión y comunicación estratégica</v>
      </c>
      <c r="Z803" s="180" t="str">
        <f>CONCATENATE(X803,"-",Y803)</f>
        <v>13-Servicios para la planeación y sistemas de gestión y comunicación estratégica</v>
      </c>
      <c r="AA803" s="166" t="s">
        <v>229</v>
      </c>
      <c r="AB803" s="172" t="str">
        <f>IFERROR(VLOOKUP(AA803,TD!$N$55:$O$70,2,0)," ")</f>
        <v>Servicio de asistencia técnica</v>
      </c>
      <c r="AC803" s="180" t="str">
        <f>CONCATENATE(AA803,"_",AB803)</f>
        <v>031_Servicio de asistencia técnica</v>
      </c>
      <c r="AD803" s="180" t="str">
        <f>CONCATENATE(Z803," ",AC803)</f>
        <v>13-Servicios para la planeación y sistemas de gestión y comunicación estratégica 031_Servicio de asistencia técnica</v>
      </c>
      <c r="AE803" s="179" t="str">
        <f>CONCATENATE(U803,V803,W803,X803,AA803)</f>
        <v>O23011745992024020713031</v>
      </c>
      <c r="AF803" s="172" t="str">
        <f>IFERROR(VLOOKUP(AD803,TD!$J$70:$K$93,2,0)," ")</f>
        <v>PM/0131/0113/45990310207</v>
      </c>
      <c r="AG803" s="114" t="s">
        <v>385</v>
      </c>
      <c r="AH803" s="181" t="s">
        <v>194</v>
      </c>
      <c r="AI803" s="184" t="str">
        <f>CONCATENATE(PAA[[#This Row],[Id Interno]],"-",PAA[[#This Row],[tipo de Contrato (TH talento humano - B/S bienes y/o servicios)]],"-",S803,"-",T803,"-",PAA[[#This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804" spans="2:35" ht="98" x14ac:dyDescent="0.35">
      <c r="B804" s="143">
        <v>20260827</v>
      </c>
      <c r="C804" s="97" t="s">
        <v>1099</v>
      </c>
      <c r="D804" s="23" t="s">
        <v>105</v>
      </c>
      <c r="E804" s="23" t="s">
        <v>363</v>
      </c>
      <c r="F804" s="23" t="s">
        <v>144</v>
      </c>
      <c r="G804" s="124" t="s">
        <v>381</v>
      </c>
      <c r="H804" s="131">
        <v>2</v>
      </c>
      <c r="I804" s="131">
        <v>0</v>
      </c>
      <c r="J804" s="122">
        <v>13000000</v>
      </c>
      <c r="K804" s="88" t="s">
        <v>398</v>
      </c>
      <c r="L804" s="163" t="s">
        <v>36</v>
      </c>
      <c r="M804" s="166" t="s">
        <v>468</v>
      </c>
      <c r="N804" s="23" t="s">
        <v>197</v>
      </c>
      <c r="O804" s="166" t="s">
        <v>886</v>
      </c>
      <c r="P804" s="166" t="s">
        <v>348</v>
      </c>
      <c r="Q804" s="53">
        <v>80111600</v>
      </c>
      <c r="R804" s="166" t="s">
        <v>200</v>
      </c>
      <c r="S804" s="166" t="str">
        <f>MID(PAA[[#This Row],[Meta Proyecto de Inversión]],1,4)</f>
        <v>8126</v>
      </c>
      <c r="T804" s="166" t="str">
        <f>MID(PAA[[#This Row],[Meta Proyecto de Inversión]],6,2)</f>
        <v>1-</v>
      </c>
      <c r="U804" s="167" t="str">
        <f>IFERROR(VLOOKUP(N804,TD!$B$54:$F$58,2,0)," ")</f>
        <v>O230117</v>
      </c>
      <c r="V804" s="167" t="str">
        <f>IFERROR(VLOOKUP(N804,TD!$B$54:$F$58,3,0)," ")</f>
        <v>4599</v>
      </c>
      <c r="W804" s="167">
        <f>IFERROR(VLOOKUP(N804,TD!$B$54:$F$58,4,0)," ")</f>
        <v>20240207</v>
      </c>
      <c r="X804" s="166" t="s">
        <v>182</v>
      </c>
      <c r="Y804" s="172" t="str">
        <f>IFERROR(VLOOKUP(X804,TD!$J$55:$K$68,2,0)," ")</f>
        <v>Servicios para la planeación y sistemas de gestión y comunicación estratégica</v>
      </c>
      <c r="Z804" s="168" t="str">
        <f>CONCATENATE(X804,"-",Y804)</f>
        <v>13-Servicios para la planeación y sistemas de gestión y comunicación estratégica</v>
      </c>
      <c r="AA804" s="166" t="s">
        <v>229</v>
      </c>
      <c r="AB804" s="172" t="str">
        <f>IFERROR(VLOOKUP(AA804,TD!$N$55:$O$70,2,0)," ")</f>
        <v>Servicio de asistencia técnica</v>
      </c>
      <c r="AC804" s="168" t="str">
        <f>CONCATENATE(AA804,"_",AB804)</f>
        <v>031_Servicio de asistencia técnica</v>
      </c>
      <c r="AD804" s="168" t="str">
        <f>CONCATENATE(Z804," ",AC804)</f>
        <v>13-Servicios para la planeación y sistemas de gestión y comunicación estratégica 031_Servicio de asistencia técnica</v>
      </c>
      <c r="AE804" s="167" t="str">
        <f>CONCATENATE(U804,V804,W804,X804,AA804)</f>
        <v>O23011745992024020713031</v>
      </c>
      <c r="AF804" s="172" t="str">
        <f>IFERROR(VLOOKUP(AD804,TD!$J$70:$K$93,2,0)," ")</f>
        <v>PM/0131/0113/45990310207</v>
      </c>
      <c r="AG804" s="114" t="s">
        <v>385</v>
      </c>
      <c r="AH804" s="175" t="s">
        <v>194</v>
      </c>
      <c r="AI804" s="184" t="str">
        <f>CONCATENATE(PAA[[#This Row],[Id Interno]],"-",PAA[[#This Row],[tipo de Contrato (TH talento humano - B/S bienes y/o servicios)]],"-",S804,"-",T804,"-",PAA[[#This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805" spans="2:35" ht="84" x14ac:dyDescent="0.35">
      <c r="B805" s="143">
        <v>20260828</v>
      </c>
      <c r="C805" s="97" t="s">
        <v>808</v>
      </c>
      <c r="D805" s="23" t="s">
        <v>105</v>
      </c>
      <c r="E805" s="23" t="s">
        <v>363</v>
      </c>
      <c r="F805" s="23" t="s">
        <v>144</v>
      </c>
      <c r="G805" s="124" t="s">
        <v>380</v>
      </c>
      <c r="H805" s="131">
        <v>5</v>
      </c>
      <c r="I805" s="131">
        <v>0</v>
      </c>
      <c r="J805" s="122">
        <v>50000000</v>
      </c>
      <c r="K805" s="88" t="s">
        <v>398</v>
      </c>
      <c r="L805" s="163" t="s">
        <v>36</v>
      </c>
      <c r="M805" s="166" t="s">
        <v>468</v>
      </c>
      <c r="N805" s="23" t="s">
        <v>197</v>
      </c>
      <c r="O805" s="166" t="s">
        <v>886</v>
      </c>
      <c r="P805" s="166" t="s">
        <v>348</v>
      </c>
      <c r="Q805" s="53">
        <v>80111600</v>
      </c>
      <c r="R805" s="166" t="s">
        <v>201</v>
      </c>
      <c r="S805" s="166" t="str">
        <f>MID(PAA[[#This Row],[Meta Proyecto de Inversión]],1,4)</f>
        <v>8126</v>
      </c>
      <c r="T805" s="166" t="str">
        <f>MID(PAA[[#This Row],[Meta Proyecto de Inversión]],6,2)</f>
        <v>2-</v>
      </c>
      <c r="U805" s="167" t="str">
        <f>IFERROR(VLOOKUP(N805,TD!$B$54:$F$58,2,0)," ")</f>
        <v>O230117</v>
      </c>
      <c r="V805" s="167" t="str">
        <f>IFERROR(VLOOKUP(N805,TD!$B$54:$F$58,3,0)," ")</f>
        <v>4599</v>
      </c>
      <c r="W805" s="167">
        <f>IFERROR(VLOOKUP(N805,TD!$B$54:$F$58,4,0)," ")</f>
        <v>20240207</v>
      </c>
      <c r="X805" s="166" t="s">
        <v>182</v>
      </c>
      <c r="Y805" s="172" t="str">
        <f>IFERROR(VLOOKUP(X805,TD!$J$55:$K$68,2,0)," ")</f>
        <v>Servicios para la planeación y sistemas de gestión y comunicación estratégica</v>
      </c>
      <c r="Z805" s="168" t="str">
        <f>CONCATENATE(X805,"-",Y805)</f>
        <v>13-Servicios para la planeación y sistemas de gestión y comunicación estratégica</v>
      </c>
      <c r="AA805" s="166" t="s">
        <v>230</v>
      </c>
      <c r="AB805" s="172" t="str">
        <f>IFERROR(VLOOKUP(AA805,TD!$N$55:$O$70,2,0)," ")</f>
        <v>Servicio de Implementación Sistemas de Gestión</v>
      </c>
      <c r="AC805" s="168" t="str">
        <f>CONCATENATE(AA805,"_",AB805)</f>
        <v>023_Servicio de Implementación Sistemas de Gestión</v>
      </c>
      <c r="AD805" s="168" t="str">
        <f>CONCATENATE(Z805," ",AC805)</f>
        <v>13-Servicios para la planeación y sistemas de gestión y comunicación estratégica 023_Servicio de Implementación Sistemas de Gestión</v>
      </c>
      <c r="AE805" s="167" t="str">
        <f>CONCATENATE(U805,V805,W805,X805,AA805)</f>
        <v>O23011745992024020713023</v>
      </c>
      <c r="AF805" s="172" t="str">
        <f>IFERROR(VLOOKUP(AD805,TD!$J$70:$K$93,2,0)," ")</f>
        <v>PM/0131/0113/45990230207</v>
      </c>
      <c r="AG805" s="114" t="s">
        <v>385</v>
      </c>
      <c r="AH805" s="175" t="s">
        <v>193</v>
      </c>
      <c r="AI805" s="184" t="str">
        <f>CONCATENATE(PAA[[#This Row],[Id Interno]],"-",PAA[[#This Row],[tipo de Contrato (TH talento humano - B/S bienes y/o servicios)]],"-",S805,"-",T805,"-",PAA[[#This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806" spans="2:35" ht="126" x14ac:dyDescent="0.35">
      <c r="B806" s="143">
        <v>20260829</v>
      </c>
      <c r="C806" s="97" t="s">
        <v>1100</v>
      </c>
      <c r="D806" s="23" t="s">
        <v>105</v>
      </c>
      <c r="E806" s="23" t="s">
        <v>363</v>
      </c>
      <c r="F806" s="23" t="s">
        <v>144</v>
      </c>
      <c r="G806" s="124" t="s">
        <v>380</v>
      </c>
      <c r="H806" s="131">
        <v>5</v>
      </c>
      <c r="I806" s="131">
        <v>0</v>
      </c>
      <c r="J806" s="122">
        <v>33500000</v>
      </c>
      <c r="K806" s="88" t="s">
        <v>398</v>
      </c>
      <c r="L806" s="163" t="s">
        <v>36</v>
      </c>
      <c r="M806" s="166" t="s">
        <v>468</v>
      </c>
      <c r="N806" s="23" t="s">
        <v>197</v>
      </c>
      <c r="O806" s="166" t="s">
        <v>886</v>
      </c>
      <c r="P806" s="166" t="s">
        <v>348</v>
      </c>
      <c r="Q806" s="53">
        <v>80111600</v>
      </c>
      <c r="R806" s="166" t="s">
        <v>201</v>
      </c>
      <c r="S806" s="166" t="str">
        <f>MID(PAA[[#This Row],[Meta Proyecto de Inversión]],1,4)</f>
        <v>8126</v>
      </c>
      <c r="T806" s="166" t="str">
        <f>MID(PAA[[#This Row],[Meta Proyecto de Inversión]],6,2)</f>
        <v>2-</v>
      </c>
      <c r="U806" s="167" t="str">
        <f>IFERROR(VLOOKUP(N806,TD!$B$54:$F$58,2,0)," ")</f>
        <v>O230117</v>
      </c>
      <c r="V806" s="167" t="str">
        <f>IFERROR(VLOOKUP(N806,TD!$B$54:$F$58,3,0)," ")</f>
        <v>4599</v>
      </c>
      <c r="W806" s="167">
        <f>IFERROR(VLOOKUP(N806,TD!$B$54:$F$58,4,0)," ")</f>
        <v>20240207</v>
      </c>
      <c r="X806" s="166" t="s">
        <v>182</v>
      </c>
      <c r="Y806" s="172" t="str">
        <f>IFERROR(VLOOKUP(X806,TD!$J$55:$K$68,2,0)," ")</f>
        <v>Servicios para la planeación y sistemas de gestión y comunicación estratégica</v>
      </c>
      <c r="Z806" s="168" t="str">
        <f>CONCATENATE(X806,"-",Y806)</f>
        <v>13-Servicios para la planeación y sistemas de gestión y comunicación estratégica</v>
      </c>
      <c r="AA806" s="166" t="s">
        <v>230</v>
      </c>
      <c r="AB806" s="172" t="str">
        <f>IFERROR(VLOOKUP(AA806,TD!$N$55:$O$70,2,0)," ")</f>
        <v>Servicio de Implementación Sistemas de Gestión</v>
      </c>
      <c r="AC806" s="168" t="str">
        <f>CONCATENATE(AA806,"_",AB806)</f>
        <v>023_Servicio de Implementación Sistemas de Gestión</v>
      </c>
      <c r="AD806" s="168" t="str">
        <f>CONCATENATE(Z806," ",AC806)</f>
        <v>13-Servicios para la planeación y sistemas de gestión y comunicación estratégica 023_Servicio de Implementación Sistemas de Gestión</v>
      </c>
      <c r="AE806" s="167" t="str">
        <f>CONCATENATE(U806,V806,W806,X806,AA806)</f>
        <v>O23011745992024020713023</v>
      </c>
      <c r="AF806" s="172" t="str">
        <f>IFERROR(VLOOKUP(AD806,TD!$J$70:$K$93,2,0)," ")</f>
        <v>PM/0131/0113/45990230207</v>
      </c>
      <c r="AG806" s="114" t="s">
        <v>385</v>
      </c>
      <c r="AH806" s="175" t="s">
        <v>193</v>
      </c>
      <c r="AI806" s="184" t="str">
        <f>CONCATENATE(PAA[[#This Row],[Id Interno]],"-",PAA[[#This Row],[tipo de Contrato (TH talento humano - B/S bienes y/o servicios)]],"-",S806,"-",T806,"-",PAA[[#This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807" spans="2:35" ht="126" x14ac:dyDescent="0.35">
      <c r="B807" s="137">
        <v>20260830</v>
      </c>
      <c r="C807" s="117" t="s">
        <v>1101</v>
      </c>
      <c r="D807" s="23" t="s">
        <v>105</v>
      </c>
      <c r="E807" s="125" t="s">
        <v>363</v>
      </c>
      <c r="F807" s="125" t="s">
        <v>145</v>
      </c>
      <c r="G807" s="126" t="s">
        <v>381</v>
      </c>
      <c r="H807" s="132">
        <v>4</v>
      </c>
      <c r="I807" s="132">
        <v>0</v>
      </c>
      <c r="J807" s="127">
        <v>17963264</v>
      </c>
      <c r="K807" s="128" t="s">
        <v>398</v>
      </c>
      <c r="L807" s="176" t="s">
        <v>36</v>
      </c>
      <c r="M807" s="174" t="s">
        <v>468</v>
      </c>
      <c r="N807" s="125" t="s">
        <v>197</v>
      </c>
      <c r="O807" s="174" t="s">
        <v>886</v>
      </c>
      <c r="P807" s="174" t="s">
        <v>348</v>
      </c>
      <c r="Q807" s="129">
        <v>80111600</v>
      </c>
      <c r="R807" s="174" t="s">
        <v>200</v>
      </c>
      <c r="S807" s="174" t="str">
        <f>MID(PAA[[#This Row],[Meta Proyecto de Inversión]],1,4)</f>
        <v>8126</v>
      </c>
      <c r="T807" s="174" t="str">
        <f>MID(PAA[[#This Row],[Meta Proyecto de Inversión]],6,2)</f>
        <v>1-</v>
      </c>
      <c r="U807" s="179" t="str">
        <f>IFERROR(VLOOKUP(N807,TD!$B$54:$F$58,2,0)," ")</f>
        <v>O230117</v>
      </c>
      <c r="V807" s="179" t="str">
        <f>IFERROR(VLOOKUP(N807,TD!$B$54:$F$58,3,0)," ")</f>
        <v>4599</v>
      </c>
      <c r="W807" s="179">
        <f>IFERROR(VLOOKUP(N807,TD!$B$54:$F$58,4,0)," ")</f>
        <v>20240207</v>
      </c>
      <c r="X807" s="174" t="s">
        <v>182</v>
      </c>
      <c r="Y807" s="172" t="str">
        <f>IFERROR(VLOOKUP(X807,TD!$J$55:$K$68,2,0)," ")</f>
        <v>Servicios para la planeación y sistemas de gestión y comunicación estratégica</v>
      </c>
      <c r="Z807" s="180" t="str">
        <f>CONCATENATE(X807,"-",Y807)</f>
        <v>13-Servicios para la planeación y sistemas de gestión y comunicación estratégica</v>
      </c>
      <c r="AA807" s="166" t="s">
        <v>230</v>
      </c>
      <c r="AB807" s="172" t="str">
        <f>IFERROR(VLOOKUP(AA807,TD!$N$55:$O$70,2,0)," ")</f>
        <v>Servicio de Implementación Sistemas de Gestión</v>
      </c>
      <c r="AC807" s="180" t="str">
        <f>CONCATENATE(AA807,"_",AB807)</f>
        <v>023_Servicio de Implementación Sistemas de Gestión</v>
      </c>
      <c r="AD807" s="180" t="str">
        <f>CONCATENATE(Z807," ",AC807)</f>
        <v>13-Servicios para la planeación y sistemas de gestión y comunicación estratégica 023_Servicio de Implementación Sistemas de Gestión</v>
      </c>
      <c r="AE807" s="179" t="str">
        <f>CONCATENATE(U807,V807,W807,X807,AA807)</f>
        <v>O23011745992024020713023</v>
      </c>
      <c r="AF807" s="172" t="str">
        <f>IFERROR(VLOOKUP(AD807,TD!$J$70:$K$93,2,0)," ")</f>
        <v>PM/0131/0113/45990230207</v>
      </c>
      <c r="AG807" s="114" t="s">
        <v>385</v>
      </c>
      <c r="AH807" s="175" t="s">
        <v>194</v>
      </c>
      <c r="AI807" s="184" t="str">
        <f>CONCATENATE(PAA[[#This Row],[Id Interno]],"-",PAA[[#This Row],[tipo de Contrato (TH talento humano - B/S bienes y/o servicios)]],"-",S807,"-",T807,"-",PAA[[#This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08" spans="2:35" ht="98" x14ac:dyDescent="0.35">
      <c r="B808" s="143">
        <v>20260831</v>
      </c>
      <c r="C808" s="97" t="s">
        <v>1102</v>
      </c>
      <c r="D808" s="23" t="s">
        <v>105</v>
      </c>
      <c r="E808" s="23" t="s">
        <v>363</v>
      </c>
      <c r="F808" s="23" t="s">
        <v>144</v>
      </c>
      <c r="G808" s="124" t="s">
        <v>381</v>
      </c>
      <c r="H808" s="131">
        <v>3</v>
      </c>
      <c r="I808" s="131">
        <v>0</v>
      </c>
      <c r="J808" s="122">
        <v>21000000</v>
      </c>
      <c r="K808" s="88" t="s">
        <v>398</v>
      </c>
      <c r="L808" s="163" t="s">
        <v>36</v>
      </c>
      <c r="M808" s="166" t="s">
        <v>468</v>
      </c>
      <c r="N808" s="23" t="s">
        <v>197</v>
      </c>
      <c r="O808" s="166" t="s">
        <v>886</v>
      </c>
      <c r="P808" s="174" t="s">
        <v>348</v>
      </c>
      <c r="Q808" s="129">
        <v>80111600</v>
      </c>
      <c r="R808" s="166" t="s">
        <v>200</v>
      </c>
      <c r="S808" s="166" t="str">
        <f>MID(PAA[[#This Row],[Meta Proyecto de Inversión]],1,4)</f>
        <v>8126</v>
      </c>
      <c r="T808" s="166" t="str">
        <f>MID(PAA[[#This Row],[Meta Proyecto de Inversión]],6,2)</f>
        <v>1-</v>
      </c>
      <c r="U808" s="167" t="str">
        <f>IFERROR(VLOOKUP(N808,TD!$B$54:$F$58,2,0)," ")</f>
        <v>O230117</v>
      </c>
      <c r="V808" s="167" t="str">
        <f>IFERROR(VLOOKUP(N808,TD!$B$54:$F$58,3,0)," ")</f>
        <v>4599</v>
      </c>
      <c r="W808" s="167">
        <f>IFERROR(VLOOKUP(N808,TD!$B$54:$F$58,4,0)," ")</f>
        <v>20240207</v>
      </c>
      <c r="X808" s="174" t="s">
        <v>182</v>
      </c>
      <c r="Y808" s="172" t="str">
        <f>IFERROR(VLOOKUP(X808,TD!$J$55:$K$68,2,0)," ")</f>
        <v>Servicios para la planeación y sistemas de gestión y comunicación estratégica</v>
      </c>
      <c r="Z808" s="168" t="str">
        <f>CONCATENATE(X808,"-",Y808)</f>
        <v>13-Servicios para la planeación y sistemas de gestión y comunicación estratégica</v>
      </c>
      <c r="AA808" s="174" t="s">
        <v>229</v>
      </c>
      <c r="AB808" s="172" t="str">
        <f>IFERROR(VLOOKUP(AA808,TD!$N$55:$O$70,2,0)," ")</f>
        <v>Servicio de asistencia técnica</v>
      </c>
      <c r="AC808" s="168" t="str">
        <f>CONCATENATE(AA808,"_",AB808)</f>
        <v>031_Servicio de asistencia técnica</v>
      </c>
      <c r="AD808" s="168" t="str">
        <f>CONCATENATE(Z808," ",AC808)</f>
        <v>13-Servicios para la planeación y sistemas de gestión y comunicación estratégica 031_Servicio de asistencia técnica</v>
      </c>
      <c r="AE808" s="167" t="str">
        <f>CONCATENATE(U808,V808,W808,X808,AA808)</f>
        <v>O23011745992024020713031</v>
      </c>
      <c r="AF808" s="172" t="str">
        <f>IFERROR(VLOOKUP(AD808,TD!$J$70:$K$93,2,0)," ")</f>
        <v>PM/0131/0113/45990310207</v>
      </c>
      <c r="AG808" s="114" t="s">
        <v>385</v>
      </c>
      <c r="AH808" s="175" t="s">
        <v>194</v>
      </c>
      <c r="AI808" s="184" t="str">
        <f>CONCATENATE(PAA[[#This Row],[Id Interno]],"-",PAA[[#This Row],[tipo de Contrato (TH talento humano - B/S bienes y/o servicios)]],"-",S808,"-",T808,"-",PAA[[#This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09" spans="2:35" ht="84" x14ac:dyDescent="0.35">
      <c r="B809" s="143">
        <v>20260832</v>
      </c>
      <c r="C809" s="97" t="s">
        <v>1103</v>
      </c>
      <c r="D809" s="23" t="s">
        <v>105</v>
      </c>
      <c r="E809" s="23" t="s">
        <v>363</v>
      </c>
      <c r="F809" s="23" t="s">
        <v>145</v>
      </c>
      <c r="G809" s="124" t="s">
        <v>382</v>
      </c>
      <c r="H809" s="131">
        <v>3</v>
      </c>
      <c r="I809" s="131">
        <v>0</v>
      </c>
      <c r="J809" s="122">
        <v>21000000</v>
      </c>
      <c r="K809" s="88" t="s">
        <v>398</v>
      </c>
      <c r="L809" s="163" t="s">
        <v>36</v>
      </c>
      <c r="M809" s="166" t="s">
        <v>468</v>
      </c>
      <c r="N809" s="23" t="s">
        <v>197</v>
      </c>
      <c r="O809" s="166" t="s">
        <v>886</v>
      </c>
      <c r="P809" s="174" t="s">
        <v>348</v>
      </c>
      <c r="Q809" s="129">
        <v>80111600</v>
      </c>
      <c r="R809" s="166" t="s">
        <v>200</v>
      </c>
      <c r="S809" s="166" t="str">
        <f>MID(PAA[[#This Row],[Meta Proyecto de Inversión]],1,4)</f>
        <v>8126</v>
      </c>
      <c r="T809" s="166" t="str">
        <f>MID(PAA[[#This Row],[Meta Proyecto de Inversión]],6,2)</f>
        <v>1-</v>
      </c>
      <c r="U809" s="167" t="str">
        <f>IFERROR(VLOOKUP(N809,TD!$B$54:$F$58,2,0)," ")</f>
        <v>O230117</v>
      </c>
      <c r="V809" s="167" t="str">
        <f>IFERROR(VLOOKUP(N809,TD!$B$54:$F$58,3,0)," ")</f>
        <v>4599</v>
      </c>
      <c r="W809" s="167">
        <f>IFERROR(VLOOKUP(N809,TD!$B$54:$F$58,4,0)," ")</f>
        <v>20240207</v>
      </c>
      <c r="X809" s="166" t="s">
        <v>182</v>
      </c>
      <c r="Y809" s="172" t="str">
        <f>IFERROR(VLOOKUP(X809,TD!$J$55:$K$68,2,0)," ")</f>
        <v>Servicios para la planeación y sistemas de gestión y comunicación estratégica</v>
      </c>
      <c r="Z809" s="168" t="str">
        <f>CONCATENATE(X809,"-",Y809)</f>
        <v>13-Servicios para la planeación y sistemas de gestión y comunicación estratégica</v>
      </c>
      <c r="AA809" s="166" t="s">
        <v>229</v>
      </c>
      <c r="AB809" s="172" t="str">
        <f>IFERROR(VLOOKUP(AA809,TD!$N$55:$O$70,2,0)," ")</f>
        <v>Servicio de asistencia técnica</v>
      </c>
      <c r="AC809" s="168" t="str">
        <f>CONCATENATE(AA809,"_",AB809)</f>
        <v>031_Servicio de asistencia técnica</v>
      </c>
      <c r="AD809" s="168" t="str">
        <f>CONCATENATE(Z809," ",AC809)</f>
        <v>13-Servicios para la planeación y sistemas de gestión y comunicación estratégica 031_Servicio de asistencia técnica</v>
      </c>
      <c r="AE809" s="167" t="str">
        <f>CONCATENATE(U809,V809,W809,X809,AA809)</f>
        <v>O23011745992024020713031</v>
      </c>
      <c r="AF809" s="172" t="str">
        <f>IFERROR(VLOOKUP(AD809,TD!$J$70:$K$93,2,0)," ")</f>
        <v>PM/0131/0113/45990310207</v>
      </c>
      <c r="AG809" s="114" t="s">
        <v>385</v>
      </c>
      <c r="AH809" s="175" t="s">
        <v>193</v>
      </c>
      <c r="AI809" s="184" t="str">
        <f>CONCATENATE(PAA[[#This Row],[Id Interno]],"-",PAA[[#This Row],[tipo de Contrato (TH talento humano - B/S bienes y/o servicios)]],"-",S809,"-",T809,"-",PAA[[#This Row],[Objeto de la contratación]])</f>
        <v>20260832-TH-8126-1--Prestar servicios profesionales para apoyar al Jefe de la Oficina Asesora de Planeación en asuntos estratégicos de la gestión administrativa de la UAECOB.</v>
      </c>
    </row>
    <row r="810" spans="2:35" ht="56" x14ac:dyDescent="0.35">
      <c r="B810" s="143">
        <v>20260833</v>
      </c>
      <c r="C810" s="97" t="s">
        <v>847</v>
      </c>
      <c r="D810" s="23" t="s">
        <v>105</v>
      </c>
      <c r="E810" s="23" t="s">
        <v>363</v>
      </c>
      <c r="F810" s="23" t="s">
        <v>144</v>
      </c>
      <c r="G810" s="124" t="s">
        <v>382</v>
      </c>
      <c r="H810" s="131">
        <v>3</v>
      </c>
      <c r="I810" s="131">
        <v>0</v>
      </c>
      <c r="J810" s="122">
        <v>21000000</v>
      </c>
      <c r="K810" s="88" t="s">
        <v>398</v>
      </c>
      <c r="L810" s="163" t="s">
        <v>36</v>
      </c>
      <c r="M810" s="166" t="s">
        <v>468</v>
      </c>
      <c r="N810" s="23" t="s">
        <v>197</v>
      </c>
      <c r="O810" s="166" t="s">
        <v>886</v>
      </c>
      <c r="P810" s="174" t="s">
        <v>348</v>
      </c>
      <c r="Q810" s="129">
        <v>80111600</v>
      </c>
      <c r="R810" s="166" t="s">
        <v>200</v>
      </c>
      <c r="S810" s="166" t="str">
        <f>MID(PAA[[#This Row],[Meta Proyecto de Inversión]],1,4)</f>
        <v>8126</v>
      </c>
      <c r="T810" s="166" t="str">
        <f>MID(PAA[[#This Row],[Meta Proyecto de Inversión]],6,2)</f>
        <v>1-</v>
      </c>
      <c r="U810" s="167" t="str">
        <f>IFERROR(VLOOKUP(N810,TD!$B$54:$F$58,2,0)," ")</f>
        <v>O230117</v>
      </c>
      <c r="V810" s="167" t="str">
        <f>IFERROR(VLOOKUP(N810,TD!$B$54:$F$58,3,0)," ")</f>
        <v>4599</v>
      </c>
      <c r="W810" s="167">
        <f>IFERROR(VLOOKUP(N810,TD!$B$54:$F$58,4,0)," ")</f>
        <v>20240207</v>
      </c>
      <c r="X810" s="166" t="s">
        <v>182</v>
      </c>
      <c r="Y810" s="172" t="str">
        <f>IFERROR(VLOOKUP(X810,TD!$J$55:$K$68,2,0)," ")</f>
        <v>Servicios para la planeación y sistemas de gestión y comunicación estratégica</v>
      </c>
      <c r="Z810" s="168" t="str">
        <f>CONCATENATE(X810,"-",Y810)</f>
        <v>13-Servicios para la planeación y sistemas de gestión y comunicación estratégica</v>
      </c>
      <c r="AA810" s="166" t="s">
        <v>229</v>
      </c>
      <c r="AB810" s="172" t="str">
        <f>IFERROR(VLOOKUP(AA810,TD!$N$55:$O$70,2,0)," ")</f>
        <v>Servicio de asistencia técnica</v>
      </c>
      <c r="AC810" s="168" t="str">
        <f>CONCATENATE(AA810,"_",AB810)</f>
        <v>031_Servicio de asistencia técnica</v>
      </c>
      <c r="AD810" s="168" t="str">
        <f>CONCATENATE(Z810," ",AC810)</f>
        <v>13-Servicios para la planeación y sistemas de gestión y comunicación estratégica 031_Servicio de asistencia técnica</v>
      </c>
      <c r="AE810" s="167" t="str">
        <f>CONCATENATE(U810,V810,W810,X810,AA810)</f>
        <v>O23011745992024020713031</v>
      </c>
      <c r="AF810" s="172" t="str">
        <f>IFERROR(VLOOKUP(AD810,TD!$J$70:$K$93,2,0)," ")</f>
        <v>PM/0131/0113/45990310207</v>
      </c>
      <c r="AG810" s="114" t="s">
        <v>385</v>
      </c>
      <c r="AH810" s="175" t="s">
        <v>193</v>
      </c>
      <c r="AI810" s="184" t="str">
        <f>CONCATENATE(PAA[[#This Row],[Id Interno]],"-",PAA[[#This Row],[tipo de Contrato (TH talento humano - B/S bienes y/o servicios)]],"-",S810,"-",T810,"-",PAA[[#This Row],[Objeto de la contratación]])</f>
        <v>20260833-TH-8126-1--Prestar servicios profesionales a la Oficina Asesora de Planeación en los asuntos concernientes que se le asignen para la implementación del Modelo Integrado de Planeación y Gestión MIPG.</v>
      </c>
    </row>
    <row r="811" spans="2:35" ht="56" x14ac:dyDescent="0.35">
      <c r="B811" s="143">
        <v>20260834</v>
      </c>
      <c r="C811" s="97" t="s">
        <v>1104</v>
      </c>
      <c r="D811" s="23" t="s">
        <v>105</v>
      </c>
      <c r="E811" s="23" t="s">
        <v>363</v>
      </c>
      <c r="F811" s="23" t="s">
        <v>144</v>
      </c>
      <c r="G811" s="124" t="s">
        <v>382</v>
      </c>
      <c r="H811" s="131">
        <v>3</v>
      </c>
      <c r="I811" s="131">
        <v>15</v>
      </c>
      <c r="J811" s="122">
        <v>24500000</v>
      </c>
      <c r="K811" s="88" t="s">
        <v>398</v>
      </c>
      <c r="L811" s="163" t="s">
        <v>156</v>
      </c>
      <c r="M811" s="166" t="s">
        <v>484</v>
      </c>
      <c r="N811" s="23" t="s">
        <v>198</v>
      </c>
      <c r="O811" s="166" t="s">
        <v>887</v>
      </c>
      <c r="P811" s="174" t="s">
        <v>348</v>
      </c>
      <c r="Q811" s="129">
        <v>80111600</v>
      </c>
      <c r="R811" s="166" t="s">
        <v>210</v>
      </c>
      <c r="S811" s="166" t="str">
        <f>MID(PAA[[#This Row],[Meta Proyecto de Inversión]],1,4)</f>
        <v>8173</v>
      </c>
      <c r="T811" s="166" t="str">
        <f>MID(PAA[[#This Row],[Meta Proyecto de Inversión]],6,2)</f>
        <v>1-</v>
      </c>
      <c r="U811" s="167" t="str">
        <f>IFERROR(VLOOKUP(N811,TD!$B$54:$F$58,2,0)," ")</f>
        <v>O230117</v>
      </c>
      <c r="V811" s="167" t="str">
        <f>IFERROR(VLOOKUP(N811,TD!$B$54:$F$58,3,0)," ")</f>
        <v>4503</v>
      </c>
      <c r="W811" s="167">
        <f>IFERROR(VLOOKUP(N811,TD!$B$54:$F$58,4,0)," ")</f>
        <v>20240255</v>
      </c>
      <c r="X811" s="174" t="s">
        <v>166</v>
      </c>
      <c r="Y811" s="172" t="str">
        <f>IFERROR(VLOOKUP(X811,TD!$J$55:$K$68,2,0)," ")</f>
        <v>Servicio de capacitaciones en gestión del riesgo de incendios  a la ciudadania.</v>
      </c>
      <c r="Z811" s="168" t="str">
        <f>CONCATENATE(X811,"-",Y811)</f>
        <v>05-Servicio de capacitaciones en gestión del riesgo de incendios  a la ciudadania.</v>
      </c>
      <c r="AA811" s="174" t="s">
        <v>223</v>
      </c>
      <c r="AB811" s="172" t="str">
        <f>IFERROR(VLOOKUP(AA811,TD!$N$55:$O$70,2,0)," ")</f>
        <v>Servicio prevención y control de incendios</v>
      </c>
      <c r="AC811" s="168" t="str">
        <f>CONCATENATE(AA811,"_",AB811)</f>
        <v>035_Servicio prevención y control de incendios</v>
      </c>
      <c r="AD811" s="168" t="str">
        <f>CONCATENATE(Z811," ",AC811)</f>
        <v>05-Servicio de capacitaciones en gestión del riesgo de incendios  a la ciudadania. 035_Servicio prevención y control de incendios</v>
      </c>
      <c r="AE811" s="167" t="str">
        <f>CONCATENATE(U811,V811,W811,X811,AA811)</f>
        <v>O23011745032024025505035</v>
      </c>
      <c r="AF811" s="172" t="str">
        <f>IFERROR(VLOOKUP(AD811,TD!$J$70:$K$93,2,0)," ")</f>
        <v>PM/0131/0105/45030350255</v>
      </c>
      <c r="AG811" s="114" t="s">
        <v>385</v>
      </c>
      <c r="AH811" s="175" t="s">
        <v>194</v>
      </c>
      <c r="AI811" s="184" t="str">
        <f>CONCATENATE(PAA[[#This Row],[Id Interno]],"-",PAA[[#This Row],[tipo de Contrato (TH talento humano - B/S bienes y/o servicios)]],"-",S811,"-",T811,"-",PAA[[#This Row],[Objeto de la contratación]])</f>
        <v>20260834-TH-8173-1--Adicion y prorroga cto 375-2026 Prestar servicios profesionales en los procesos de formacion y capacitacion de la subdirección de gestión del riesgo._SGR</v>
      </c>
    </row>
    <row r="812" spans="2:35" ht="56" x14ac:dyDescent="0.35">
      <c r="B812" s="137">
        <v>20260835</v>
      </c>
      <c r="C812" s="117" t="s">
        <v>1105</v>
      </c>
      <c r="D812" s="125" t="s">
        <v>105</v>
      </c>
      <c r="E812" s="125" t="s">
        <v>363</v>
      </c>
      <c r="F812" s="125" t="s">
        <v>144</v>
      </c>
      <c r="G812" s="126" t="s">
        <v>382</v>
      </c>
      <c r="H812" s="132">
        <v>3</v>
      </c>
      <c r="I812" s="132">
        <v>0</v>
      </c>
      <c r="J812" s="127">
        <v>16500000</v>
      </c>
      <c r="K812" s="88" t="s">
        <v>398</v>
      </c>
      <c r="L812" s="163" t="s">
        <v>156</v>
      </c>
      <c r="M812" s="166" t="s">
        <v>484</v>
      </c>
      <c r="N812" s="23" t="s">
        <v>198</v>
      </c>
      <c r="O812" s="166" t="s">
        <v>887</v>
      </c>
      <c r="P812" s="174" t="s">
        <v>348</v>
      </c>
      <c r="Q812" s="129">
        <v>80111600</v>
      </c>
      <c r="R812" s="166" t="s">
        <v>214</v>
      </c>
      <c r="S812" s="174" t="str">
        <f>MID(PAA[[#This Row],[Meta Proyecto de Inversión]],1,4)</f>
        <v>8173</v>
      </c>
      <c r="T812" s="166" t="str">
        <f>MID(PAA[[#This Row],[Meta Proyecto de Inversión]],6,2)</f>
        <v>5-</v>
      </c>
      <c r="U812" s="179" t="str">
        <f>IFERROR(VLOOKUP(N812,TD!$B$54:$F$58,2,0)," ")</f>
        <v>O230117</v>
      </c>
      <c r="V812" s="179" t="str">
        <f>IFERROR(VLOOKUP(N812,TD!$B$54:$F$58,3,0)," ")</f>
        <v>4503</v>
      </c>
      <c r="W812" s="179">
        <f>IFERROR(VLOOKUP(N812,TD!$B$54:$F$58,4,0)," ")</f>
        <v>20240255</v>
      </c>
      <c r="X812" s="174">
        <v>16</v>
      </c>
      <c r="Y812" s="172" t="str">
        <f>IFERROR(VLOOKUP(X812,TD!$J$55:$K$68,2,0)," ")</f>
        <v>Servicio de monitoreo y seguimiento para la gestión del riesgo</v>
      </c>
      <c r="Z812" s="180" t="str">
        <f>CONCATENATE(X812,"-",Y812)</f>
        <v>16-Servicio de monitoreo y seguimiento para la gestión del riesgo</v>
      </c>
      <c r="AA812" s="174" t="s">
        <v>224</v>
      </c>
      <c r="AB812" s="172" t="str">
        <f>IFERROR(VLOOKUP(AA812,TD!$N$55:$O$70,2,0)," ")</f>
        <v>Servicio de monitoreo y seguimiento para la gestión del riesgo</v>
      </c>
      <c r="AC812" s="180" t="str">
        <f>CONCATENATE(AA812,"_",AB812)</f>
        <v>018_Servicio de monitoreo y seguimiento para la gestión del riesgo</v>
      </c>
      <c r="AD812" s="180" t="str">
        <f>CONCATENATE(Z812," ",AC812)</f>
        <v>16-Servicio de monitoreo y seguimiento para la gestión del riesgo 018_Servicio de monitoreo y seguimiento para la gestión del riesgo</v>
      </c>
      <c r="AE812" s="179" t="str">
        <f>CONCATENATE(U812,V812,W812,X812,AA812)</f>
        <v>O23011745032024025516018</v>
      </c>
      <c r="AF812" s="172" t="str">
        <f>IFERROR(VLOOKUP(AD812,TD!$J$70:$K$93,2,0)," ")</f>
        <v>PM/0131/0116/45030180255</v>
      </c>
      <c r="AG812" s="114" t="s">
        <v>385</v>
      </c>
      <c r="AH812" s="175" t="s">
        <v>194</v>
      </c>
      <c r="AI812" s="184" t="str">
        <f>CONCATENATE(PAA[[#This Row],[Id Interno]],"-",PAA[[#This Row],[tipo de Contrato (TH talento humano - B/S bienes y/o servicios)]],"-",S812,"-",T812,"-",PAA[[#This Row],[Objeto de la contratación]])</f>
        <v>20260835-TH-8173-5--Adicion y prorroga cto 237-2026 Prestar servicios profesionales en las actividades de identificacion y caracterizacion  de escenarios  de riesgos a cargo de la Subdirección de Gestión del Riesgo._SGR</v>
      </c>
    </row>
    <row r="813" spans="2:35" ht="56" x14ac:dyDescent="0.35">
      <c r="B813" s="143">
        <v>20260836</v>
      </c>
      <c r="C813" s="97" t="s">
        <v>1106</v>
      </c>
      <c r="D813" s="23" t="s">
        <v>105</v>
      </c>
      <c r="E813" s="23" t="s">
        <v>363</v>
      </c>
      <c r="F813" s="23" t="s">
        <v>144</v>
      </c>
      <c r="G813" s="124" t="s">
        <v>382</v>
      </c>
      <c r="H813" s="131">
        <v>3</v>
      </c>
      <c r="I813" s="131">
        <v>0</v>
      </c>
      <c r="J813" s="122">
        <v>12000000</v>
      </c>
      <c r="K813" s="88" t="s">
        <v>398</v>
      </c>
      <c r="L813" s="163" t="s">
        <v>156</v>
      </c>
      <c r="M813" s="166" t="s">
        <v>484</v>
      </c>
      <c r="N813" s="23" t="s">
        <v>198</v>
      </c>
      <c r="O813" s="166" t="s">
        <v>887</v>
      </c>
      <c r="P813" s="166" t="s">
        <v>348</v>
      </c>
      <c r="Q813" s="53">
        <v>80111600</v>
      </c>
      <c r="R813" s="166" t="s">
        <v>210</v>
      </c>
      <c r="S813" s="166" t="str">
        <f>MID(PAA[[#This Row],[Meta Proyecto de Inversión]],1,4)</f>
        <v>8173</v>
      </c>
      <c r="T813" s="166" t="str">
        <f>MID(PAA[[#This Row],[Meta Proyecto de Inversión]],6,2)</f>
        <v>1-</v>
      </c>
      <c r="U813" s="167" t="str">
        <f>IFERROR(VLOOKUP(N813,TD!$B$54:$F$58,2,0)," ")</f>
        <v>O230117</v>
      </c>
      <c r="V813" s="167" t="str">
        <f>IFERROR(VLOOKUP(N813,TD!$B$54:$F$58,3,0)," ")</f>
        <v>4503</v>
      </c>
      <c r="W813" s="167">
        <f>IFERROR(VLOOKUP(N813,TD!$B$54:$F$58,4,0)," ")</f>
        <v>20240255</v>
      </c>
      <c r="X813" s="166" t="s">
        <v>166</v>
      </c>
      <c r="Y813" s="172" t="str">
        <f>IFERROR(VLOOKUP(X813,TD!$J$55:$K$68,2,0)," ")</f>
        <v>Servicio de capacitaciones en gestión del riesgo de incendios  a la ciudadania.</v>
      </c>
      <c r="Z813" s="168" t="str">
        <f>CONCATENATE(X813,"-",Y813)</f>
        <v>05-Servicio de capacitaciones en gestión del riesgo de incendios  a la ciudadania.</v>
      </c>
      <c r="AA813" s="166" t="s">
        <v>223</v>
      </c>
      <c r="AB813" s="172" t="str">
        <f>IFERROR(VLOOKUP(AA813,TD!$N$55:$O$70,2,0)," ")</f>
        <v>Servicio prevención y control de incendios</v>
      </c>
      <c r="AC813" s="168" t="str">
        <f>CONCATENATE(AA813,"_",AB813)</f>
        <v>035_Servicio prevención y control de incendios</v>
      </c>
      <c r="AD813" s="168" t="str">
        <f>CONCATENATE(Z813," ",AC813)</f>
        <v>05-Servicio de capacitaciones en gestión del riesgo de incendios  a la ciudadania. 035_Servicio prevención y control de incendios</v>
      </c>
      <c r="AE813" s="167" t="str">
        <f>CONCATENATE(U813,V813,W813,X813,AA813)</f>
        <v>O23011745032024025505035</v>
      </c>
      <c r="AF813" s="172" t="str">
        <f>IFERROR(VLOOKUP(AD813,TD!$J$70:$K$93,2,0)," ")</f>
        <v>PM/0131/0105/45030350255</v>
      </c>
      <c r="AG813" s="114" t="s">
        <v>385</v>
      </c>
      <c r="AH813" s="175" t="s">
        <v>194</v>
      </c>
      <c r="AI813" s="184" t="str">
        <f>CONCATENATE(PAA[[#This Row],[Id Interno]],"-",PAA[[#This Row],[tipo de Contrato (TH talento humano - B/S bienes y/o servicios)]],"-",S813,"-",T813,"-",PAA[[#This Row],[Objeto de la contratación]])</f>
        <v>20260836-TH-8173-1--Adicion y prorroga cto 352-2026Prestar servicios de apoyo en las actividades de Programas y Campañas de Prevención para la Subdirección de Gestión del Riesgo. _SGR</v>
      </c>
    </row>
    <row r="814" spans="2:35" ht="56" x14ac:dyDescent="0.35">
      <c r="B814" s="143">
        <v>20260837</v>
      </c>
      <c r="C814" s="97" t="s">
        <v>1107</v>
      </c>
      <c r="D814" s="23" t="s">
        <v>105</v>
      </c>
      <c r="E814" s="23" t="s">
        <v>363</v>
      </c>
      <c r="F814" s="23" t="s">
        <v>144</v>
      </c>
      <c r="G814" s="124" t="s">
        <v>382</v>
      </c>
      <c r="H814" s="131">
        <v>3</v>
      </c>
      <c r="I814" s="131">
        <v>0</v>
      </c>
      <c r="J814" s="122">
        <v>11250000</v>
      </c>
      <c r="K814" s="88" t="s">
        <v>398</v>
      </c>
      <c r="L814" s="163" t="s">
        <v>156</v>
      </c>
      <c r="M814" s="166" t="s">
        <v>484</v>
      </c>
      <c r="N814" s="23" t="s">
        <v>198</v>
      </c>
      <c r="O814" s="166" t="s">
        <v>887</v>
      </c>
      <c r="P814" s="166" t="s">
        <v>348</v>
      </c>
      <c r="Q814" s="53">
        <v>80111600</v>
      </c>
      <c r="R814" s="166" t="s">
        <v>210</v>
      </c>
      <c r="S814" s="166" t="str">
        <f>MID(PAA[[#This Row],[Meta Proyecto de Inversión]],1,4)</f>
        <v>8173</v>
      </c>
      <c r="T814" s="166" t="str">
        <f>MID(PAA[[#This Row],[Meta Proyecto de Inversión]],6,2)</f>
        <v>1-</v>
      </c>
      <c r="U814" s="167" t="str">
        <f>IFERROR(VLOOKUP(N814,TD!$B$54:$F$58,2,0)," ")</f>
        <v>O230117</v>
      </c>
      <c r="V814" s="167" t="str">
        <f>IFERROR(VLOOKUP(N814,TD!$B$54:$F$58,3,0)," ")</f>
        <v>4503</v>
      </c>
      <c r="W814" s="167">
        <f>IFERROR(VLOOKUP(N814,TD!$B$54:$F$58,4,0)," ")</f>
        <v>20240255</v>
      </c>
      <c r="X814" s="166" t="s">
        <v>166</v>
      </c>
      <c r="Y814" s="172" t="str">
        <f>IFERROR(VLOOKUP(X814,TD!$J$55:$K$68,2,0)," ")</f>
        <v>Servicio de capacitaciones en gestión del riesgo de incendios  a la ciudadania.</v>
      </c>
      <c r="Z814" s="168" t="str">
        <f>CONCATENATE(X814,"-",Y814)</f>
        <v>05-Servicio de capacitaciones en gestión del riesgo de incendios  a la ciudadania.</v>
      </c>
      <c r="AA814" s="166" t="s">
        <v>223</v>
      </c>
      <c r="AB814" s="172" t="str">
        <f>IFERROR(VLOOKUP(AA814,TD!$N$55:$O$70,2,0)," ")</f>
        <v>Servicio prevención y control de incendios</v>
      </c>
      <c r="AC814" s="168" t="str">
        <f>CONCATENATE(AA814,"_",AB814)</f>
        <v>035_Servicio prevención y control de incendios</v>
      </c>
      <c r="AD814" s="168" t="str">
        <f>CONCATENATE(Z814," ",AC814)</f>
        <v>05-Servicio de capacitaciones en gestión del riesgo de incendios  a la ciudadania. 035_Servicio prevención y control de incendios</v>
      </c>
      <c r="AE814" s="167" t="str">
        <f>CONCATENATE(U814,V814,W814,X814,AA814)</f>
        <v>O23011745032024025505035</v>
      </c>
      <c r="AF814" s="172" t="str">
        <f>IFERROR(VLOOKUP(AD814,TD!$J$70:$K$93,2,0)," ")</f>
        <v>PM/0131/0105/45030350255</v>
      </c>
      <c r="AG814" s="114" t="s">
        <v>385</v>
      </c>
      <c r="AH814" s="175" t="s">
        <v>194</v>
      </c>
      <c r="AI814" s="184" t="str">
        <f>CONCATENATE(PAA[[#This Row],[Id Interno]],"-",PAA[[#This Row],[tipo de Contrato (TH talento humano - B/S bienes y/o servicios)]],"-",S814,"-",T814,"-",PAA[[#This Row],[Objeto de la contratación]])</f>
        <v>20260837-TH-8173-1--Adicion y prorroga cto 301-2026Prestar servicios de apoyo en las actividades de Programas y Campañas de Prevención para la Subdirección de Gestión del Riesgo. _SGR</v>
      </c>
    </row>
    <row r="815" spans="2:35" ht="56" x14ac:dyDescent="0.35">
      <c r="B815" s="143">
        <v>20260838</v>
      </c>
      <c r="C815" s="97" t="s">
        <v>1108</v>
      </c>
      <c r="D815" s="23" t="s">
        <v>105</v>
      </c>
      <c r="E815" s="23" t="s">
        <v>363</v>
      </c>
      <c r="F815" s="23" t="s">
        <v>144</v>
      </c>
      <c r="G815" s="124" t="s">
        <v>382</v>
      </c>
      <c r="H815" s="131">
        <v>3</v>
      </c>
      <c r="I815" s="131">
        <v>0</v>
      </c>
      <c r="J815" s="122">
        <v>27300000</v>
      </c>
      <c r="K815" s="88" t="s">
        <v>398</v>
      </c>
      <c r="L815" s="163" t="s">
        <v>156</v>
      </c>
      <c r="M815" s="166" t="s">
        <v>484</v>
      </c>
      <c r="N815" s="23" t="s">
        <v>198</v>
      </c>
      <c r="O815" s="166" t="s">
        <v>887</v>
      </c>
      <c r="P815" s="166" t="s">
        <v>348</v>
      </c>
      <c r="Q815" s="53">
        <v>80111600</v>
      </c>
      <c r="R815" s="166" t="s">
        <v>215</v>
      </c>
      <c r="S815" s="166" t="str">
        <f>MID(PAA[[#This Row],[Meta Proyecto de Inversión]],1,4)</f>
        <v>8173</v>
      </c>
      <c r="T815" s="166" t="str">
        <f>MID(PAA[[#This Row],[Meta Proyecto de Inversión]],6,2)</f>
        <v>6-</v>
      </c>
      <c r="U815" s="167" t="str">
        <f>IFERROR(VLOOKUP(N815,TD!$B$54:$F$58,2,0)," ")</f>
        <v>O230117</v>
      </c>
      <c r="V815" s="167" t="str">
        <f>IFERROR(VLOOKUP(N815,TD!$B$54:$F$58,3,0)," ")</f>
        <v>4503</v>
      </c>
      <c r="W815" s="167">
        <f>IFERROR(VLOOKUP(N815,TD!$B$54:$F$58,4,0)," ")</f>
        <v>20240255</v>
      </c>
      <c r="X815" s="166">
        <v>16</v>
      </c>
      <c r="Y815" s="172" t="str">
        <f>IFERROR(VLOOKUP(X815,TD!$J$55:$K$68,2,0)," ")</f>
        <v>Servicio de monitoreo y seguimiento para la gestión del riesgo</v>
      </c>
      <c r="Z815" s="168" t="str">
        <f>CONCATENATE(X815,"-",Y815)</f>
        <v>16-Servicio de monitoreo y seguimiento para la gestión del riesgo</v>
      </c>
      <c r="AA815" s="166" t="s">
        <v>224</v>
      </c>
      <c r="AB815" s="172" t="str">
        <f>IFERROR(VLOOKUP(AA815,TD!$N$55:$O$70,2,0)," ")</f>
        <v>Servicio de monitoreo y seguimiento para la gestión del riesgo</v>
      </c>
      <c r="AC815" s="168" t="str">
        <f>CONCATENATE(AA815,"_",AB815)</f>
        <v>018_Servicio de monitoreo y seguimiento para la gestión del riesgo</v>
      </c>
      <c r="AD815" s="168" t="str">
        <f>CONCATENATE(Z815," ",AC815)</f>
        <v>16-Servicio de monitoreo y seguimiento para la gestión del riesgo 018_Servicio de monitoreo y seguimiento para la gestión del riesgo</v>
      </c>
      <c r="AE815" s="167" t="str">
        <f>CONCATENATE(U815,V815,W815,X815,AA815)</f>
        <v>O23011745032024025516018</v>
      </c>
      <c r="AF815" s="172" t="str">
        <f>IFERROR(VLOOKUP(AD815,TD!$J$70:$K$93,2,0)," ")</f>
        <v>PM/0131/0116/45030180255</v>
      </c>
      <c r="AG815" s="114" t="s">
        <v>385</v>
      </c>
      <c r="AH815" s="175" t="s">
        <v>194</v>
      </c>
      <c r="AI815" s="184" t="str">
        <f>CONCATENATE(PAA[[#This Row],[Id Interno]],"-",PAA[[#This Row],[tipo de Contrato (TH talento humano - B/S bienes y/o servicios)]],"-",S815,"-",T815,"-",PAA[[#This Row],[Objeto de la contratación]])</f>
        <v>20260838-TH-8173-6--Adicion y prorroga cto 046-2026 prestar servicios profesionales liderando las actividades de monitoreo del riesgo de la subdirecion  de gestión del riesgo_SGR</v>
      </c>
    </row>
    <row r="816" spans="2:35" ht="42" x14ac:dyDescent="0.35">
      <c r="B816" s="143">
        <v>20260839</v>
      </c>
      <c r="C816" s="97" t="s">
        <v>1109</v>
      </c>
      <c r="D816" s="23" t="s">
        <v>92</v>
      </c>
      <c r="E816" s="23" t="s">
        <v>402</v>
      </c>
      <c r="F816" s="23" t="s">
        <v>111</v>
      </c>
      <c r="G816" s="124" t="s">
        <v>377</v>
      </c>
      <c r="H816" s="131">
        <v>8</v>
      </c>
      <c r="I816" s="131">
        <v>0</v>
      </c>
      <c r="J816" s="122">
        <v>3530000</v>
      </c>
      <c r="K816" s="88" t="s">
        <v>398</v>
      </c>
      <c r="L816" s="163" t="s">
        <v>157</v>
      </c>
      <c r="M816" s="166" t="s">
        <v>483</v>
      </c>
      <c r="N816" s="23" t="s">
        <v>198</v>
      </c>
      <c r="O816" s="166" t="s">
        <v>887</v>
      </c>
      <c r="P816" s="166" t="s">
        <v>348</v>
      </c>
      <c r="Q816" s="53" t="s">
        <v>493</v>
      </c>
      <c r="R816" s="166" t="s">
        <v>213</v>
      </c>
      <c r="S816" s="166" t="str">
        <f>MID(PAA[[#This Row],[Meta Proyecto de Inversión]],1,4)</f>
        <v>8173</v>
      </c>
      <c r="T816" s="166" t="str">
        <f>MID(PAA[[#This Row],[Meta Proyecto de Inversión]],6,2)</f>
        <v>4-</v>
      </c>
      <c r="U816" s="167" t="str">
        <f>IFERROR(VLOOKUP(N816,TD!$B$54:$F$58,2,0)," ")</f>
        <v>O230117</v>
      </c>
      <c r="V816" s="167" t="str">
        <f>IFERROR(VLOOKUP(N816,TD!$B$54:$F$58,3,0)," ")</f>
        <v>4503</v>
      </c>
      <c r="W816" s="167">
        <f>IFERROR(VLOOKUP(N816,TD!$B$54:$F$58,4,0)," ")</f>
        <v>20240255</v>
      </c>
      <c r="X816" s="166" t="s">
        <v>180</v>
      </c>
      <c r="Y816" s="172" t="str">
        <f>IFERROR(VLOOKUP(X816,TD!$J$55:$K$68,2,0)," ")</f>
        <v>Servicio de apoyo   logístico  en eventos operativos y/o emergencias.</v>
      </c>
      <c r="Z816" s="168" t="str">
        <f>CONCATENATE(X816,"-",Y816)</f>
        <v>12-Servicio de apoyo   logístico  en eventos operativos y/o emergencias.</v>
      </c>
      <c r="AA816" s="166" t="s">
        <v>221</v>
      </c>
      <c r="AB816" s="172" t="str">
        <f>IFERROR(VLOOKUP(AA816,TD!$N$55:$O$70,2,0)," ")</f>
        <v>Servicio de atención a emergencias y desastres</v>
      </c>
      <c r="AC816" s="168" t="str">
        <f>CONCATENATE(AA816,"_",AB816)</f>
        <v>004_Servicio de atención a emergencias y desastres</v>
      </c>
      <c r="AD816" s="168" t="str">
        <f>CONCATENATE(Z816," ",AC816)</f>
        <v>12-Servicio de apoyo   logístico  en eventos operativos y/o emergencias. 004_Servicio de atención a emergencias y desastres</v>
      </c>
      <c r="AE816" s="167" t="str">
        <f>CONCATENATE(U816,V816,W816,X816,AA816)</f>
        <v>O23011745032024025512004</v>
      </c>
      <c r="AF816" s="172" t="str">
        <f>IFERROR(VLOOKUP(AD816,TD!$J$70:$K$93,2,0)," ")</f>
        <v>PM/0131/0112/45030040255</v>
      </c>
      <c r="AG816" s="114" t="s">
        <v>125</v>
      </c>
      <c r="AH816" s="175" t="s">
        <v>194</v>
      </c>
      <c r="AI816" s="184" t="str">
        <f>CONCATENATE(PAA[[#This Row],[Id Interno]],"-",PAA[[#This Row],[tipo de Contrato (TH talento humano - B/S bienes y/o servicios)]],"-",S816,"-",T816,"-",PAA[[#This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817" spans="2:35" ht="56" x14ac:dyDescent="0.35">
      <c r="B817" s="143">
        <v>20260840</v>
      </c>
      <c r="C817" s="97" t="s">
        <v>1110</v>
      </c>
      <c r="D817" s="23" t="s">
        <v>88</v>
      </c>
      <c r="E817" s="23" t="s">
        <v>402</v>
      </c>
      <c r="F817" s="23" t="s">
        <v>111</v>
      </c>
      <c r="G817" s="124" t="s">
        <v>377</v>
      </c>
      <c r="H817" s="131">
        <v>8</v>
      </c>
      <c r="I817" s="131">
        <v>0</v>
      </c>
      <c r="J817" s="122">
        <v>6100000</v>
      </c>
      <c r="K817" s="88" t="s">
        <v>398</v>
      </c>
      <c r="L817" s="163" t="s">
        <v>157</v>
      </c>
      <c r="M817" s="166" t="s">
        <v>483</v>
      </c>
      <c r="N817" s="23" t="s">
        <v>198</v>
      </c>
      <c r="O817" s="166" t="s">
        <v>887</v>
      </c>
      <c r="P817" s="166" t="s">
        <v>348</v>
      </c>
      <c r="Q817" s="53" t="s">
        <v>491</v>
      </c>
      <c r="R817" s="166" t="s">
        <v>213</v>
      </c>
      <c r="S817" s="166" t="str">
        <f>MID(PAA[[#This Row],[Meta Proyecto de Inversión]],1,4)</f>
        <v>8173</v>
      </c>
      <c r="T817" s="166" t="str">
        <f>MID(PAA[[#This Row],[Meta Proyecto de Inversión]],6,2)</f>
        <v>4-</v>
      </c>
      <c r="U817" s="167" t="str">
        <f>IFERROR(VLOOKUP(N817,TD!$B$54:$F$58,2,0)," ")</f>
        <v>O230117</v>
      </c>
      <c r="V817" s="167" t="str">
        <f>IFERROR(VLOOKUP(N817,TD!$B$54:$F$58,3,0)," ")</f>
        <v>4503</v>
      </c>
      <c r="W817" s="167">
        <f>IFERROR(VLOOKUP(N817,TD!$B$54:$F$58,4,0)," ")</f>
        <v>20240255</v>
      </c>
      <c r="X817" s="166" t="s">
        <v>180</v>
      </c>
      <c r="Y817" s="172" t="str">
        <f>IFERROR(VLOOKUP(X817,TD!$J$55:$K$68,2,0)," ")</f>
        <v>Servicio de apoyo   logístico  en eventos operativos y/o emergencias.</v>
      </c>
      <c r="Z817" s="168" t="str">
        <f>CONCATENATE(X817,"-",Y817)</f>
        <v>12-Servicio de apoyo   logístico  en eventos operativos y/o emergencias.</v>
      </c>
      <c r="AA817" s="166" t="s">
        <v>221</v>
      </c>
      <c r="AB817" s="172" t="str">
        <f>IFERROR(VLOOKUP(AA817,TD!$N$55:$O$70,2,0)," ")</f>
        <v>Servicio de atención a emergencias y desastres</v>
      </c>
      <c r="AC817" s="168" t="str">
        <f>CONCATENATE(AA817,"_",AB817)</f>
        <v>004_Servicio de atención a emergencias y desastres</v>
      </c>
      <c r="AD817" s="168" t="str">
        <f>CONCATENATE(Z817," ",AC817)</f>
        <v>12-Servicio de apoyo   logístico  en eventos operativos y/o emergencias. 004_Servicio de atención a emergencias y desastres</v>
      </c>
      <c r="AE817" s="167" t="str">
        <f>CONCATENATE(U817,V817,W817,X817,AA817)</f>
        <v>O23011745032024025512004</v>
      </c>
      <c r="AF817" s="172" t="str">
        <f>IFERROR(VLOOKUP(AD817,TD!$J$70:$K$93,2,0)," ")</f>
        <v>PM/0131/0112/45030040255</v>
      </c>
      <c r="AG817" s="114" t="s">
        <v>102</v>
      </c>
      <c r="AH817" s="175" t="s">
        <v>194</v>
      </c>
      <c r="AI817" s="184" t="str">
        <f>CONCATENATE(PAA[[#This Row],[Id Interno]],"-",PAA[[#This Row],[tipo de Contrato (TH talento humano - B/S bienes y/o servicios)]],"-",S817,"-",T817,"-",PAA[[#This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818" spans="2:35" ht="84" x14ac:dyDescent="0.35">
      <c r="B818" s="143">
        <v>20260841</v>
      </c>
      <c r="C818" s="97" t="s">
        <v>1111</v>
      </c>
      <c r="D818" s="23" t="s">
        <v>105</v>
      </c>
      <c r="E818" s="23" t="s">
        <v>363</v>
      </c>
      <c r="F818" s="23" t="s">
        <v>144</v>
      </c>
      <c r="G818" s="124" t="s">
        <v>373</v>
      </c>
      <c r="H818" s="131">
        <v>8</v>
      </c>
      <c r="I818" s="131">
        <v>0</v>
      </c>
      <c r="J818" s="122">
        <v>4500000</v>
      </c>
      <c r="K818" s="88" t="s">
        <v>398</v>
      </c>
      <c r="L818" s="163" t="s">
        <v>157</v>
      </c>
      <c r="M818" s="166" t="s">
        <v>483</v>
      </c>
      <c r="N818" s="23" t="s">
        <v>198</v>
      </c>
      <c r="O818" s="166" t="s">
        <v>887</v>
      </c>
      <c r="P818" s="166" t="s">
        <v>348</v>
      </c>
      <c r="Q818" s="53">
        <v>80111600</v>
      </c>
      <c r="R818" s="166" t="s">
        <v>213</v>
      </c>
      <c r="S818" s="166" t="str">
        <f>MID(PAA[[#This Row],[Meta Proyecto de Inversión]],1,4)</f>
        <v>8173</v>
      </c>
      <c r="T818" s="166" t="str">
        <f>MID(PAA[[#This Row],[Meta Proyecto de Inversión]],6,2)</f>
        <v>4-</v>
      </c>
      <c r="U818" s="167" t="str">
        <f>IFERROR(VLOOKUP(N818,TD!$B$54:$F$58,2,0)," ")</f>
        <v>O230117</v>
      </c>
      <c r="V818" s="167" t="str">
        <f>IFERROR(VLOOKUP(N818,TD!$B$54:$F$58,3,0)," ")</f>
        <v>4503</v>
      </c>
      <c r="W818" s="167">
        <f>IFERROR(VLOOKUP(N818,TD!$B$54:$F$58,4,0)," ")</f>
        <v>20240255</v>
      </c>
      <c r="X818" s="166" t="s">
        <v>180</v>
      </c>
      <c r="Y818" s="172" t="str">
        <f>IFERROR(VLOOKUP(X818,TD!$J$55:$K$68,2,0)," ")</f>
        <v>Servicio de apoyo   logístico  en eventos operativos y/o emergencias.</v>
      </c>
      <c r="Z818" s="168" t="str">
        <f>CONCATENATE(X818,"-",Y818)</f>
        <v>12-Servicio de apoyo   logístico  en eventos operativos y/o emergencias.</v>
      </c>
      <c r="AA818" s="166" t="s">
        <v>221</v>
      </c>
      <c r="AB818" s="172" t="str">
        <f>IFERROR(VLOOKUP(AA818,TD!$N$55:$O$70,2,0)," ")</f>
        <v>Servicio de atención a emergencias y desastres</v>
      </c>
      <c r="AC818" s="168" t="str">
        <f>CONCATENATE(AA818,"_",AB818)</f>
        <v>004_Servicio de atención a emergencias y desastres</v>
      </c>
      <c r="AD818" s="168" t="str">
        <f>CONCATENATE(Z818," ",AC818)</f>
        <v>12-Servicio de apoyo   logístico  en eventos operativos y/o emergencias. 004_Servicio de atención a emergencias y desastres</v>
      </c>
      <c r="AE818" s="167" t="str">
        <f>CONCATENATE(U818,V818,W818,X818,AA818)</f>
        <v>O23011745032024025512004</v>
      </c>
      <c r="AF818" s="172" t="str">
        <f>IFERROR(VLOOKUP(AD818,TD!$J$70:$K$93,2,0)," ")</f>
        <v>PM/0131/0112/45030040255</v>
      </c>
      <c r="AG818" s="114" t="s">
        <v>385</v>
      </c>
      <c r="AH818" s="175" t="s">
        <v>194</v>
      </c>
      <c r="AI818" s="184" t="str">
        <f>CONCATENATE(PAA[[#This Row],[Id Interno]],"-",PAA[[#This Row],[tipo de Contrato (TH talento humano - B/S bienes y/o servicios)]],"-",S818,"-",T818,"-",PAA[[#This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819" spans="2:35" ht="70" x14ac:dyDescent="0.35">
      <c r="B819" s="137">
        <v>20260842</v>
      </c>
      <c r="C819" s="117" t="s">
        <v>1112</v>
      </c>
      <c r="D819" s="125" t="s">
        <v>105</v>
      </c>
      <c r="E819" s="125" t="s">
        <v>363</v>
      </c>
      <c r="F819" s="125" t="s">
        <v>144</v>
      </c>
      <c r="G819" s="126" t="s">
        <v>379</v>
      </c>
      <c r="H819" s="132">
        <v>4</v>
      </c>
      <c r="I819" s="132">
        <v>0</v>
      </c>
      <c r="J819" s="127">
        <v>24800000</v>
      </c>
      <c r="K819" s="128" t="s">
        <v>398</v>
      </c>
      <c r="L819" s="176" t="s">
        <v>150</v>
      </c>
      <c r="M819" s="174" t="s">
        <v>401</v>
      </c>
      <c r="N819" s="125" t="s">
        <v>197</v>
      </c>
      <c r="O819" s="174" t="s">
        <v>886</v>
      </c>
      <c r="P819" s="174" t="s">
        <v>348</v>
      </c>
      <c r="Q819" s="129">
        <v>80111600</v>
      </c>
      <c r="R819" s="174" t="s">
        <v>209</v>
      </c>
      <c r="S819" s="174" t="str">
        <f>MID(PAA[[#This Row],[Meta Proyecto de Inversión]],1,4)</f>
        <v>8126</v>
      </c>
      <c r="T819" s="174" t="str">
        <f>MID(PAA[[#This Row],[Meta Proyecto de Inversión]],6,2)</f>
        <v>10</v>
      </c>
      <c r="U819" s="179" t="str">
        <f>IFERROR(VLOOKUP(N819,TD!$B$54:$F$58,2,0)," ")</f>
        <v>O230117</v>
      </c>
      <c r="V819" s="179" t="str">
        <f>IFERROR(VLOOKUP(N819,TD!$B$54:$F$58,3,0)," ")</f>
        <v>4599</v>
      </c>
      <c r="W819" s="179">
        <f>IFERROR(VLOOKUP(N819,TD!$B$54:$F$58,4,0)," ")</f>
        <v>20240207</v>
      </c>
      <c r="X819" s="174" t="s">
        <v>182</v>
      </c>
      <c r="Y819" s="172" t="str">
        <f>IFERROR(VLOOKUP(X819,TD!$J$55:$K$68,2,0)," ")</f>
        <v>Servicios para la planeación y sistemas de gestión y comunicación estratégica</v>
      </c>
      <c r="Z819" s="180" t="str">
        <f>CONCATENATE(X819,"-",Y819)</f>
        <v>13-Servicios para la planeación y sistemas de gestión y comunicación estratégica</v>
      </c>
      <c r="AA819" s="174" t="s">
        <v>231</v>
      </c>
      <c r="AB819" s="172" t="str">
        <f>IFERROR(VLOOKUP(AA819,TD!$N$55:$O$70,2,0)," ")</f>
        <v>Documentos de planeación</v>
      </c>
      <c r="AC819" s="180" t="str">
        <f>CONCATENATE(AA819,"_",AB819)</f>
        <v>019_Documentos de planeación</v>
      </c>
      <c r="AD819" s="180" t="str">
        <f>CONCATENATE(Z819," ",AC819)</f>
        <v>13-Servicios para la planeación y sistemas de gestión y comunicación estratégica 019_Documentos de planeación</v>
      </c>
      <c r="AE819" s="179" t="str">
        <f>CONCATENATE(U819,V819,W819,X819,AA819)</f>
        <v>O23011745992024020713019</v>
      </c>
      <c r="AF819" s="172" t="str">
        <f>IFERROR(VLOOKUP(AD819,TD!$J$70:$K$93,2,0)," ")</f>
        <v>PM/0131/0113/45990190207</v>
      </c>
      <c r="AG819" s="114" t="s">
        <v>385</v>
      </c>
      <c r="AH819" s="175" t="s">
        <v>193</v>
      </c>
      <c r="AI819" s="184" t="str">
        <f>CONCATENATE(PAA[[#This Row],[Id Interno]],"-",PAA[[#This Row],[tipo de Contrato (TH talento humano - B/S bienes y/o servicios)]],"-",S819,"-",T819,"-",PAA[[#This Row],[Objeto de la contratación]])</f>
        <v>20260842-TH-8126-10-Prestación de servicios profesionales en la Dirección en comunicaciones y prensa, para apoyar la difusión de la información al público interno y externo de la UAECOB.</v>
      </c>
    </row>
    <row r="820" spans="2:35" ht="70" x14ac:dyDescent="0.35">
      <c r="B820" s="143">
        <v>20260843</v>
      </c>
      <c r="C820" s="97" t="s">
        <v>1113</v>
      </c>
      <c r="D820" s="23" t="s">
        <v>105</v>
      </c>
      <c r="E820" s="23" t="s">
        <v>363</v>
      </c>
      <c r="F820" s="23" t="s">
        <v>144</v>
      </c>
      <c r="G820" s="124" t="s">
        <v>379</v>
      </c>
      <c r="H820" s="131">
        <v>4</v>
      </c>
      <c r="I820" s="131">
        <v>0</v>
      </c>
      <c r="J820" s="122">
        <v>21600000</v>
      </c>
      <c r="K820" s="88" t="s">
        <v>398</v>
      </c>
      <c r="L820" s="163" t="s">
        <v>150</v>
      </c>
      <c r="M820" s="166" t="s">
        <v>401</v>
      </c>
      <c r="N820" s="23" t="s">
        <v>197</v>
      </c>
      <c r="O820" s="166" t="s">
        <v>886</v>
      </c>
      <c r="P820" s="166" t="s">
        <v>348</v>
      </c>
      <c r="Q820" s="53">
        <v>80111600</v>
      </c>
      <c r="R820" s="166" t="s">
        <v>209</v>
      </c>
      <c r="S820" s="166" t="str">
        <f>MID(PAA[[#This Row],[Meta Proyecto de Inversión]],1,4)</f>
        <v>8126</v>
      </c>
      <c r="T820" s="166" t="str">
        <f>MID(PAA[[#This Row],[Meta Proyecto de Inversión]],6,2)</f>
        <v>10</v>
      </c>
      <c r="U820" s="167" t="str">
        <f>IFERROR(VLOOKUP(N820,TD!$B$54:$F$58,2,0)," ")</f>
        <v>O230117</v>
      </c>
      <c r="V820" s="167" t="str">
        <f>IFERROR(VLOOKUP(N820,TD!$B$54:$F$58,3,0)," ")</f>
        <v>4599</v>
      </c>
      <c r="W820" s="167">
        <f>IFERROR(VLOOKUP(N820,TD!$B$54:$F$58,4,0)," ")</f>
        <v>20240207</v>
      </c>
      <c r="X820" s="166" t="s">
        <v>182</v>
      </c>
      <c r="Y820" s="172" t="str">
        <f>IFERROR(VLOOKUP(X820,TD!$J$55:$K$68,2,0)," ")</f>
        <v>Servicios para la planeación y sistemas de gestión y comunicación estratégica</v>
      </c>
      <c r="Z820" s="168" t="str">
        <f>CONCATENATE(X820,"-",Y820)</f>
        <v>13-Servicios para la planeación y sistemas de gestión y comunicación estratégica</v>
      </c>
      <c r="AA820" s="166" t="s">
        <v>231</v>
      </c>
      <c r="AB820" s="172" t="str">
        <f>IFERROR(VLOOKUP(AA820,TD!$N$55:$O$70,2,0)," ")</f>
        <v>Documentos de planeación</v>
      </c>
      <c r="AC820" s="168" t="str">
        <f>CONCATENATE(AA820,"_",AB820)</f>
        <v>019_Documentos de planeación</v>
      </c>
      <c r="AD820" s="168" t="str">
        <f>CONCATENATE(Z820," ",AC820)</f>
        <v>13-Servicios para la planeación y sistemas de gestión y comunicación estratégica 019_Documentos de planeación</v>
      </c>
      <c r="AE820" s="167" t="str">
        <f>CONCATENATE(U820,V820,W820,X820,AA820)</f>
        <v>O23011745992024020713019</v>
      </c>
      <c r="AF820" s="172" t="str">
        <f>IFERROR(VLOOKUP(AD820,TD!$J$70:$K$93,2,0)," ")</f>
        <v>PM/0131/0113/45990190207</v>
      </c>
      <c r="AG820" s="114" t="s">
        <v>385</v>
      </c>
      <c r="AH820" s="175" t="s">
        <v>193</v>
      </c>
      <c r="AI820" s="184" t="str">
        <f>CONCATENATE(PAA[[#This Row],[Id Interno]],"-",PAA[[#This Row],[tipo de Contrato (TH talento humano - B/S bienes y/o servicios)]],"-",S820,"-",T820,"-",PAA[[#This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21" spans="2:35" ht="70" x14ac:dyDescent="0.35">
      <c r="B821" s="143">
        <v>20260844</v>
      </c>
      <c r="C821" s="97" t="s">
        <v>1114</v>
      </c>
      <c r="D821" s="23" t="s">
        <v>78</v>
      </c>
      <c r="E821" s="23" t="s">
        <v>402</v>
      </c>
      <c r="F821" s="23" t="s">
        <v>136</v>
      </c>
      <c r="G821" s="124" t="s">
        <v>378</v>
      </c>
      <c r="H821" s="131">
        <v>6</v>
      </c>
      <c r="I821" s="131">
        <v>0</v>
      </c>
      <c r="J821" s="122">
        <v>500000000</v>
      </c>
      <c r="K821" s="88" t="s">
        <v>398</v>
      </c>
      <c r="L821" s="163" t="s">
        <v>157</v>
      </c>
      <c r="M821" s="166" t="s">
        <v>483</v>
      </c>
      <c r="N821" s="23" t="s">
        <v>198</v>
      </c>
      <c r="O821" s="166" t="s">
        <v>887</v>
      </c>
      <c r="P821" s="166" t="s">
        <v>348</v>
      </c>
      <c r="Q821" s="53">
        <v>78181500</v>
      </c>
      <c r="R821" s="166" t="s">
        <v>213</v>
      </c>
      <c r="S821" s="166" t="str">
        <f>MID(PAA[[#This Row],[Meta Proyecto de Inversión]],1,4)</f>
        <v>8173</v>
      </c>
      <c r="T821" s="166" t="str">
        <f>MID(PAA[[#This Row],[Meta Proyecto de Inversión]],6,2)</f>
        <v>4-</v>
      </c>
      <c r="U821" s="167" t="str">
        <f>IFERROR(VLOOKUP(N821,TD!$B$54:$F$58,2,0)," ")</f>
        <v>O230117</v>
      </c>
      <c r="V821" s="167" t="str">
        <f>IFERROR(VLOOKUP(N821,TD!$B$54:$F$58,3,0)," ")</f>
        <v>4503</v>
      </c>
      <c r="W821" s="167">
        <f>IFERROR(VLOOKUP(N821,TD!$B$54:$F$58,4,0)," ")</f>
        <v>20240255</v>
      </c>
      <c r="X821" s="166" t="s">
        <v>176</v>
      </c>
      <c r="Y821" s="172" t="str">
        <f>IFERROR(VLOOKUP(X821,TD!$J$55:$K$68,2,0)," ")</f>
        <v>Servicio de mantenimiento, dotación (HEA´s y equipo menor) y adquisición de vehiculos   especializados para la atención de emergencias.</v>
      </c>
      <c r="Z821" s="168" t="str">
        <f>CONCATENATE(X821,"-",Y821)</f>
        <v>09-Servicio de mantenimiento, dotación (HEA´s y equipo menor) y adquisición de vehiculos   especializados para la atención de emergencias.</v>
      </c>
      <c r="AA821" s="166" t="s">
        <v>221</v>
      </c>
      <c r="AB821" s="172" t="str">
        <f>IFERROR(VLOOKUP(AA821,TD!$N$55:$O$70,2,0)," ")</f>
        <v>Servicio de atención a emergencias y desastres</v>
      </c>
      <c r="AC821" s="168" t="str">
        <f>CONCATENATE(AA821,"_",AB821)</f>
        <v>004_Servicio de atención a emergencias y desastres</v>
      </c>
      <c r="AD821" s="168" t="str">
        <f>CONCATENATE(Z821," ",AC821)</f>
        <v>09-Servicio de mantenimiento, dotación (HEA´s y equipo menor) y adquisición de vehiculos   especializados para la atención de emergencias. 004_Servicio de atención a emergencias y desastres</v>
      </c>
      <c r="AE821" s="167" t="str">
        <f>CONCATENATE(U821,V821,W821,X821,AA821)</f>
        <v>O23011745032024025509004</v>
      </c>
      <c r="AF821" s="172" t="str">
        <f>IFERROR(VLOOKUP(AD821,TD!$J$70:$K$93,2,0)," ")</f>
        <v>PM/0131/0109/45030040255</v>
      </c>
      <c r="AG821" s="114" t="s">
        <v>387</v>
      </c>
      <c r="AH821" s="175" t="s">
        <v>194</v>
      </c>
      <c r="AI821" s="184" t="str">
        <f>CONCATENATE(PAA[[#This Row],[Id Interno]],"-",PAA[[#This Row],[tipo de Contrato (TH talento humano - B/S bienes y/o servicios)]],"-",S821,"-",T821,"-",PAA[[#This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22" spans="2:35" ht="84" x14ac:dyDescent="0.35">
      <c r="B822" s="137">
        <v>20260847</v>
      </c>
      <c r="C822" s="117" t="s">
        <v>1120</v>
      </c>
      <c r="D822" s="125" t="s">
        <v>105</v>
      </c>
      <c r="E822" s="125" t="s">
        <v>363</v>
      </c>
      <c r="F822" s="125" t="s">
        <v>144</v>
      </c>
      <c r="G822" s="126" t="s">
        <v>379</v>
      </c>
      <c r="H822" s="132">
        <v>3</v>
      </c>
      <c r="I822" s="132">
        <v>0</v>
      </c>
      <c r="J822" s="127">
        <v>19500000</v>
      </c>
      <c r="K822" s="128" t="s">
        <v>398</v>
      </c>
      <c r="L822" s="176" t="s">
        <v>36</v>
      </c>
      <c r="M822" s="174" t="s">
        <v>468</v>
      </c>
      <c r="N822" s="125" t="s">
        <v>197</v>
      </c>
      <c r="O822" s="174" t="s">
        <v>886</v>
      </c>
      <c r="P822" s="174" t="s">
        <v>348</v>
      </c>
      <c r="Q822" s="129">
        <v>80111600</v>
      </c>
      <c r="R822" s="174" t="s">
        <v>200</v>
      </c>
      <c r="S822" s="174" t="str">
        <f>MID(PAA[[#This Row],[Meta Proyecto de Inversión]],1,4)</f>
        <v>8126</v>
      </c>
      <c r="T822" s="166" t="str">
        <f>MID(PAA[[#This Row],[Meta Proyecto de Inversión]],6,2)</f>
        <v>1-</v>
      </c>
      <c r="U822" s="179" t="str">
        <f>IFERROR(VLOOKUP(N822,TD!$B$54:$F$58,2,0)," ")</f>
        <v>O230117</v>
      </c>
      <c r="V822" s="179" t="str">
        <f>IFERROR(VLOOKUP(N822,TD!$B$54:$F$58,3,0)," ")</f>
        <v>4599</v>
      </c>
      <c r="W822" s="179">
        <f>IFERROR(VLOOKUP(N822,TD!$B$54:$F$58,4,0)," ")</f>
        <v>20240207</v>
      </c>
      <c r="X822" s="166" t="s">
        <v>182</v>
      </c>
      <c r="Y822" s="172" t="str">
        <f>IFERROR(VLOOKUP(X822,TD!$J$55:$K$68,2,0)," ")</f>
        <v>Servicios para la planeación y sistemas de gestión y comunicación estratégica</v>
      </c>
      <c r="Z822" s="180" t="str">
        <f>CONCATENATE(X822,"-",Y822)</f>
        <v>13-Servicios para la planeación y sistemas de gestión y comunicación estratégica</v>
      </c>
      <c r="AA822" s="166" t="s">
        <v>229</v>
      </c>
      <c r="AB822" s="172" t="str">
        <f>IFERROR(VLOOKUP(AA822,TD!$N$55:$O$70,2,0)," ")</f>
        <v>Servicio de asistencia técnica</v>
      </c>
      <c r="AC822" s="180" t="str">
        <f>CONCATENATE(AA822,"_",AB822)</f>
        <v>031_Servicio de asistencia técnica</v>
      </c>
      <c r="AD822" s="180" t="str">
        <f>CONCATENATE(Z822," ",AC822)</f>
        <v>13-Servicios para la planeación y sistemas de gestión y comunicación estratégica 031_Servicio de asistencia técnica</v>
      </c>
      <c r="AE822" s="179" t="str">
        <f>CONCATENATE(U822,V822,W822,X822,AA822)</f>
        <v>O23011745992024020713031</v>
      </c>
      <c r="AF822" s="172" t="str">
        <f>IFERROR(VLOOKUP(AD822,TD!$J$70:$K$93,2,0)," ")</f>
        <v>PM/0131/0113/45990310207</v>
      </c>
      <c r="AG822" s="114" t="s">
        <v>385</v>
      </c>
      <c r="AH822" s="181" t="s">
        <v>194</v>
      </c>
      <c r="AI822" s="184" t="str">
        <f>CONCATENATE(PAA[[#This Row],[Id Interno]],"-",PAA[[#This Row],[tipo de Contrato (TH talento humano - B/S bienes y/o servicios)]],"-",S822,"-",T822,"-",PAA[[#This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23" spans="2:35" ht="70" x14ac:dyDescent="0.35">
      <c r="B823" s="143">
        <v>20260848</v>
      </c>
      <c r="C823" s="97" t="s">
        <v>1121</v>
      </c>
      <c r="D823" s="23" t="s">
        <v>105</v>
      </c>
      <c r="E823" s="23" t="s">
        <v>363</v>
      </c>
      <c r="F823" s="23" t="s">
        <v>144</v>
      </c>
      <c r="G823" s="124" t="s">
        <v>379</v>
      </c>
      <c r="H823" s="131">
        <v>3</v>
      </c>
      <c r="I823" s="131">
        <v>0</v>
      </c>
      <c r="J823" s="122">
        <v>19500000</v>
      </c>
      <c r="K823" s="88" t="s">
        <v>398</v>
      </c>
      <c r="L823" s="163" t="s">
        <v>36</v>
      </c>
      <c r="M823" s="166" t="s">
        <v>468</v>
      </c>
      <c r="N823" s="23" t="s">
        <v>197</v>
      </c>
      <c r="O823" s="166" t="s">
        <v>886</v>
      </c>
      <c r="P823" s="166" t="s">
        <v>348</v>
      </c>
      <c r="Q823" s="53">
        <v>80111600</v>
      </c>
      <c r="R823" s="166" t="s">
        <v>200</v>
      </c>
      <c r="S823" s="166" t="str">
        <f>MID(PAA[[#This Row],[Meta Proyecto de Inversión]],1,4)</f>
        <v>8126</v>
      </c>
      <c r="T823" s="166" t="str">
        <f>MID(PAA[[#This Row],[Meta Proyecto de Inversión]],6,2)</f>
        <v>1-</v>
      </c>
      <c r="U823" s="167" t="str">
        <f>IFERROR(VLOOKUP(N823,TD!$B$54:$F$58,2,0)," ")</f>
        <v>O230117</v>
      </c>
      <c r="V823" s="167" t="str">
        <f>IFERROR(VLOOKUP(N823,TD!$B$54:$F$58,3,0)," ")</f>
        <v>4599</v>
      </c>
      <c r="W823" s="167">
        <f>IFERROR(VLOOKUP(N823,TD!$B$54:$F$58,4,0)," ")</f>
        <v>20240207</v>
      </c>
      <c r="X823" s="166" t="s">
        <v>182</v>
      </c>
      <c r="Y823" s="172" t="str">
        <f>IFERROR(VLOOKUP(X823,TD!$J$55:$K$68,2,0)," ")</f>
        <v>Servicios para la planeación y sistemas de gestión y comunicación estratégica</v>
      </c>
      <c r="Z823" s="168" t="str">
        <f>CONCATENATE(X823,"-",Y823)</f>
        <v>13-Servicios para la planeación y sistemas de gestión y comunicación estratégica</v>
      </c>
      <c r="AA823" s="166" t="s">
        <v>229</v>
      </c>
      <c r="AB823" s="172" t="str">
        <f>IFERROR(VLOOKUP(AA823,TD!$N$55:$O$70,2,0)," ")</f>
        <v>Servicio de asistencia técnica</v>
      </c>
      <c r="AC823" s="168" t="str">
        <f>CONCATENATE(AA823,"_",AB823)</f>
        <v>031_Servicio de asistencia técnica</v>
      </c>
      <c r="AD823" s="168" t="str">
        <f>CONCATENATE(Z823," ",AC823)</f>
        <v>13-Servicios para la planeación y sistemas de gestión y comunicación estratégica 031_Servicio de asistencia técnica</v>
      </c>
      <c r="AE823" s="167" t="str">
        <f>CONCATENATE(U823,V823,W823,X823,AA823)</f>
        <v>O23011745992024020713031</v>
      </c>
      <c r="AF823" s="172" t="str">
        <f>IFERROR(VLOOKUP(AD823,TD!$J$70:$K$93,2,0)," ")</f>
        <v>PM/0131/0113/45990310207</v>
      </c>
      <c r="AG823" s="114" t="s">
        <v>385</v>
      </c>
      <c r="AH823" s="175" t="s">
        <v>194</v>
      </c>
      <c r="AI823" s="184" t="str">
        <f>CONCATENATE(PAA[[#This Row],[Id Interno]],"-",PAA[[#This Row],[tipo de Contrato (TH talento humano - B/S bienes y/o servicios)]],"-",S823,"-",T823,"-",PAA[[#This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24" spans="2:35" ht="70" x14ac:dyDescent="0.35">
      <c r="B824" s="143">
        <v>20260849</v>
      </c>
      <c r="C824" s="97" t="s">
        <v>1122</v>
      </c>
      <c r="D824" s="23" t="s">
        <v>105</v>
      </c>
      <c r="E824" s="23" t="s">
        <v>363</v>
      </c>
      <c r="F824" s="23" t="s">
        <v>144</v>
      </c>
      <c r="G824" s="124" t="s">
        <v>384</v>
      </c>
      <c r="H824" s="131">
        <v>1</v>
      </c>
      <c r="I824" s="131">
        <v>0</v>
      </c>
      <c r="J824" s="122">
        <v>9200000</v>
      </c>
      <c r="K824" s="88" t="s">
        <v>398</v>
      </c>
      <c r="L824" s="163" t="s">
        <v>36</v>
      </c>
      <c r="M824" s="166" t="s">
        <v>468</v>
      </c>
      <c r="N824" s="23" t="s">
        <v>197</v>
      </c>
      <c r="O824" s="166" t="s">
        <v>886</v>
      </c>
      <c r="P824" s="166" t="s">
        <v>348</v>
      </c>
      <c r="Q824" s="53">
        <v>80111600</v>
      </c>
      <c r="R824" s="166" t="s">
        <v>202</v>
      </c>
      <c r="S824" s="166" t="str">
        <f>MID(PAA[[#This Row],[Meta Proyecto de Inversión]],1,4)</f>
        <v>8126</v>
      </c>
      <c r="T824" s="166" t="str">
        <f>MID(PAA[[#This Row],[Meta Proyecto de Inversión]],6,2)</f>
        <v>3-</v>
      </c>
      <c r="U824" s="167" t="str">
        <f>IFERROR(VLOOKUP(N824,TD!$B$54:$F$58,2,0)," ")</f>
        <v>O230117</v>
      </c>
      <c r="V824" s="167" t="str">
        <f>IFERROR(VLOOKUP(N824,TD!$B$54:$F$58,3,0)," ")</f>
        <v>4599</v>
      </c>
      <c r="W824" s="167">
        <f>IFERROR(VLOOKUP(N824,TD!$B$54:$F$58,4,0)," ")</f>
        <v>20240207</v>
      </c>
      <c r="X824" s="166" t="s">
        <v>182</v>
      </c>
      <c r="Y824" s="172" t="str">
        <f>IFERROR(VLOOKUP(X824,TD!$J$55:$K$68,2,0)," ")</f>
        <v>Servicios para la planeación y sistemas de gestión y comunicación estratégica</v>
      </c>
      <c r="Z824" s="168" t="str">
        <f>CONCATENATE(X824,"-",Y824)</f>
        <v>13-Servicios para la planeación y sistemas de gestión y comunicación estratégica</v>
      </c>
      <c r="AA824" s="166" t="s">
        <v>229</v>
      </c>
      <c r="AB824" s="172" t="str">
        <f>IFERROR(VLOOKUP(AA824,TD!$N$55:$O$70,2,0)," ")</f>
        <v>Servicio de asistencia técnica</v>
      </c>
      <c r="AC824" s="168" t="str">
        <f>CONCATENATE(AA824,"_",AB824)</f>
        <v>031_Servicio de asistencia técnica</v>
      </c>
      <c r="AD824" s="168" t="str">
        <f>CONCATENATE(Z824," ",AC824)</f>
        <v>13-Servicios para la planeación y sistemas de gestión y comunicación estratégica 031_Servicio de asistencia técnica</v>
      </c>
      <c r="AE824" s="167" t="str">
        <f>CONCATENATE(U824,V824,W824,X824,AA824)</f>
        <v>O23011745992024020713031</v>
      </c>
      <c r="AF824" s="172" t="str">
        <f>IFERROR(VLOOKUP(AD824,TD!$J$70:$K$93,2,0)," ")</f>
        <v>PM/0131/0113/45990310207</v>
      </c>
      <c r="AG824" s="114" t="s">
        <v>385</v>
      </c>
      <c r="AH824" s="175" t="s">
        <v>194</v>
      </c>
      <c r="AI824" s="184" t="str">
        <f>CONCATENATE(PAA[[#This Row],[Id Interno]],"-",PAA[[#This Row],[tipo de Contrato (TH talento humano - B/S bienes y/o servicios)]],"-",S824,"-",T824,"-",PAA[[#This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25" spans="2:35" ht="98" x14ac:dyDescent="0.35">
      <c r="B825" s="143">
        <v>20260850</v>
      </c>
      <c r="C825" s="97" t="s">
        <v>1245</v>
      </c>
      <c r="D825" s="23" t="s">
        <v>105</v>
      </c>
      <c r="E825" s="23" t="s">
        <v>363</v>
      </c>
      <c r="F825" s="23" t="s">
        <v>144</v>
      </c>
      <c r="G825" s="124" t="s">
        <v>378</v>
      </c>
      <c r="H825" s="131">
        <v>2</v>
      </c>
      <c r="I825" s="131">
        <v>0</v>
      </c>
      <c r="J825" s="122">
        <v>14745962</v>
      </c>
      <c r="K825" s="88" t="s">
        <v>398</v>
      </c>
      <c r="L825" s="163" t="s">
        <v>155</v>
      </c>
      <c r="M825" s="166" t="s">
        <v>422</v>
      </c>
      <c r="N825" s="23" t="s">
        <v>197</v>
      </c>
      <c r="O825" s="166" t="s">
        <v>886</v>
      </c>
      <c r="P825" s="166" t="s">
        <v>348</v>
      </c>
      <c r="Q825" s="53" t="s">
        <v>725</v>
      </c>
      <c r="R825" s="166" t="s">
        <v>208</v>
      </c>
      <c r="S825" s="166" t="str">
        <f>MID(PAA[[#This Row],[Meta Proyecto de Inversión]],1,4)</f>
        <v>8126</v>
      </c>
      <c r="T825" s="166" t="str">
        <f>MID(PAA[[#This Row],[Meta Proyecto de Inversión]],6,2)</f>
        <v>9-</v>
      </c>
      <c r="U825" s="167" t="str">
        <f>IFERROR(VLOOKUP(N825,TD!$B$54:$F$58,2,0)," ")</f>
        <v>O230117</v>
      </c>
      <c r="V825" s="167" t="str">
        <f>IFERROR(VLOOKUP(N825,TD!$B$54:$F$58,3,0)," ")</f>
        <v>4599</v>
      </c>
      <c r="W825" s="167">
        <f>IFERROR(VLOOKUP(N825,TD!$B$54:$F$58,4,0)," ")</f>
        <v>20240207</v>
      </c>
      <c r="X825" s="166" t="s">
        <v>174</v>
      </c>
      <c r="Y825" s="172" t="str">
        <f>IFERROR(VLOOKUP(X825,TD!$J$55:$K$68,2,0)," ")</f>
        <v>Infraestructura física, mantenimiento y dotación (Sedes construidas, mantenidas reforzadas)</v>
      </c>
      <c r="Z825" s="168" t="str">
        <f>CONCATENATE(X825,"-",Y825)</f>
        <v>08-Infraestructura física, mantenimiento y dotación (Sedes construidas, mantenidas reforzadas)</v>
      </c>
      <c r="AA825" s="166" t="s">
        <v>227</v>
      </c>
      <c r="AB825" s="172" t="str">
        <f>IFERROR(VLOOKUP(AA825,TD!$N$55:$O$70,2,0)," ")</f>
        <v>Sedes mantenidas</v>
      </c>
      <c r="AC825" s="168" t="str">
        <f>CONCATENATE(AA825,"_",AB825)</f>
        <v>016_Sedes mantenidas</v>
      </c>
      <c r="AD825" s="168" t="str">
        <f>CONCATENATE(Z825," ",AC825)</f>
        <v>08-Infraestructura física, mantenimiento y dotación (Sedes construidas, mantenidas reforzadas) 016_Sedes mantenidas</v>
      </c>
      <c r="AE825" s="167" t="str">
        <f>CONCATENATE(U825,V825,W825,X825,AA825)</f>
        <v>O23011745992024020708016</v>
      </c>
      <c r="AF825" s="172" t="str">
        <f>IFERROR(VLOOKUP(AD825,TD!$J$70:$K$93,2,0)," ")</f>
        <v>PM/0131/0108/45990160207</v>
      </c>
      <c r="AG825" s="114" t="s">
        <v>385</v>
      </c>
      <c r="AH825" s="175" t="s">
        <v>194</v>
      </c>
      <c r="AI825" s="184" t="str">
        <f>CONCATENATE(PAA[[#This Row],[Id Interno]],"-",PAA[[#This Row],[tipo de Contrato (TH talento humano - B/S bienes y/o servicios)]],"-",S825,"-",T825,"-",PAA[[#This Row],[Objeto de la contratación]])</f>
        <v>20260850-TH-8126-9--  Prestar servicios profesionales para el desarrollo de los contenidos graficos, piezas comunicativa y de imagen institucional para la Subdirección de Gestión del riesgo._SGR</v>
      </c>
    </row>
    <row r="826" spans="2:35" ht="42" x14ac:dyDescent="0.35">
      <c r="B826" s="143">
        <v>20260851</v>
      </c>
      <c r="C826" s="97" t="s">
        <v>1143</v>
      </c>
      <c r="D826" s="23" t="s">
        <v>105</v>
      </c>
      <c r="E826" s="23" t="s">
        <v>363</v>
      </c>
      <c r="F826" s="23" t="s">
        <v>144</v>
      </c>
      <c r="G826" s="124" t="s">
        <v>383</v>
      </c>
      <c r="H826" s="131">
        <v>1</v>
      </c>
      <c r="I826" s="131">
        <v>10</v>
      </c>
      <c r="J826" s="122">
        <v>10700000</v>
      </c>
      <c r="K826" s="88" t="s">
        <v>398</v>
      </c>
      <c r="L826" s="163" t="s">
        <v>158</v>
      </c>
      <c r="M826" s="166" t="s">
        <v>421</v>
      </c>
      <c r="N826" s="23" t="s">
        <v>198</v>
      </c>
      <c r="O826" s="166" t="s">
        <v>887</v>
      </c>
      <c r="P826" s="166" t="s">
        <v>348</v>
      </c>
      <c r="Q826" s="53">
        <v>80111600</v>
      </c>
      <c r="R826" s="166" t="s">
        <v>211</v>
      </c>
      <c r="S826" s="166" t="str">
        <f>MID(PAA[[#This Row],[Meta Proyecto de Inversión]],1,4)</f>
        <v>8173</v>
      </c>
      <c r="T826" s="166" t="str">
        <f>MID(PAA[[#This Row],[Meta Proyecto de Inversión]],6,2)</f>
        <v>2-</v>
      </c>
      <c r="U826" s="167" t="str">
        <f>IFERROR(VLOOKUP(N826,TD!$B$54:$F$58,2,0)," ")</f>
        <v>O230117</v>
      </c>
      <c r="V826" s="167" t="str">
        <f>IFERROR(VLOOKUP(N826,TD!$B$54:$F$58,3,0)," ")</f>
        <v>4503</v>
      </c>
      <c r="W826" s="167">
        <f>IFERROR(VLOOKUP(N826,TD!$B$54:$F$58,4,0)," ")</f>
        <v>20240255</v>
      </c>
      <c r="X826" s="166" t="s">
        <v>164</v>
      </c>
      <c r="Y826" s="172" t="str">
        <f>IFERROR(VLOOKUP(X826,TD!$J$55:$K$68,2,0)," ")</f>
        <v>Servicio de atención a incidentes y emergencias.</v>
      </c>
      <c r="Z826" s="168" t="str">
        <f>CONCATENATE(X826,"-",Y826)</f>
        <v>04-Servicio de atención a incidentes y emergencias.</v>
      </c>
      <c r="AA826" s="166" t="s">
        <v>221</v>
      </c>
      <c r="AB826" s="172" t="str">
        <f>IFERROR(VLOOKUP(AA826,TD!$N$55:$O$70,2,0)," ")</f>
        <v>Servicio de atención a emergencias y desastres</v>
      </c>
      <c r="AC826" s="168" t="str">
        <f>CONCATENATE(AA826,"_",AB826)</f>
        <v>004_Servicio de atención a emergencias y desastres</v>
      </c>
      <c r="AD826" s="168" t="str">
        <f>CONCATENATE(Z826," ",AC826)</f>
        <v>04-Servicio de atención a incidentes y emergencias. 004_Servicio de atención a emergencias y desastres</v>
      </c>
      <c r="AE826" s="167" t="str">
        <f>CONCATENATE(U826,V826,W826,X826,AA826)</f>
        <v>O23011745032024025504004</v>
      </c>
      <c r="AF826" s="172" t="str">
        <f>IFERROR(VLOOKUP(AD826,TD!$J$70:$K$93,2,0)," ")</f>
        <v>PM/0131/0104/45030040255</v>
      </c>
      <c r="AG826" s="114" t="s">
        <v>385</v>
      </c>
      <c r="AH826" s="175" t="s">
        <v>193</v>
      </c>
      <c r="AI826" s="184" t="str">
        <f>CONCATENATE(PAA[[#This Row],[Id Interno]],"-",PAA[[#This Row],[tipo de Contrato (TH talento humano - B/S bienes y/o servicios)]],"-",S826,"-",T826,"-",PAA[[#This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27" spans="2:35" ht="84" x14ac:dyDescent="0.35">
      <c r="B827" s="155">
        <v>20260852</v>
      </c>
      <c r="C827" s="97" t="s">
        <v>1127</v>
      </c>
      <c r="D827" s="97" t="s">
        <v>88</v>
      </c>
      <c r="E827" s="97" t="s">
        <v>402</v>
      </c>
      <c r="F827" s="97" t="s">
        <v>101</v>
      </c>
      <c r="G827" s="124" t="s">
        <v>379</v>
      </c>
      <c r="H827" s="150">
        <v>6</v>
      </c>
      <c r="I827" s="150">
        <v>0</v>
      </c>
      <c r="J827" s="114">
        <v>3555500000</v>
      </c>
      <c r="K827" s="121" t="s">
        <v>398</v>
      </c>
      <c r="L827" s="164" t="s">
        <v>158</v>
      </c>
      <c r="M827" s="171" t="s">
        <v>421</v>
      </c>
      <c r="N827" s="97" t="s">
        <v>330</v>
      </c>
      <c r="O827" s="171" t="s">
        <v>886</v>
      </c>
      <c r="P827" s="171" t="s">
        <v>161</v>
      </c>
      <c r="Q827" s="123" t="s">
        <v>1126</v>
      </c>
      <c r="R827" s="171" t="s">
        <v>331</v>
      </c>
      <c r="S827" s="168" t="str">
        <f>MID(PAA[[#This Row],[Meta Proyecto de Inversión]],1,4)</f>
        <v>No a</v>
      </c>
      <c r="T827" s="168" t="str">
        <f>MID(PAA[[#This Row],[Meta Proyecto de Inversión]],6,2)</f>
        <v>li</v>
      </c>
      <c r="U827" s="172" t="str">
        <f>IFERROR(VLOOKUP(N827,TD!$B$54:$F$58,2,0)," ")</f>
        <v>NA</v>
      </c>
      <c r="V827" s="172" t="str">
        <f>IFERROR(VLOOKUP(N827,TD!$B$54:$F$58,3,0)," ")</f>
        <v>NA</v>
      </c>
      <c r="W827" s="172" t="str">
        <f>IFERROR(VLOOKUP(N827,TD!$B$54:$F$58,4,0)," ")</f>
        <v>NA</v>
      </c>
      <c r="X827" s="171" t="s">
        <v>335</v>
      </c>
      <c r="Y827" s="172" t="str">
        <f>IFERROR(VLOOKUP(X827,TD!$J$55:$K$68,2,0)," ")</f>
        <v>N/A</v>
      </c>
      <c r="Z827" s="168" t="str">
        <f>CONCATENATE(X827,"-",Y827)</f>
        <v>N/A-N/A</v>
      </c>
      <c r="AA827" s="171" t="s">
        <v>335</v>
      </c>
      <c r="AB827" s="172" t="str">
        <f>IFERROR(VLOOKUP(AA827,TD!$N$55:$O$70,2,0)," ")</f>
        <v>N/A</v>
      </c>
      <c r="AC827" s="168" t="str">
        <f>CONCATENATE(AA827,"_",AB827)</f>
        <v>N/A_N/A</v>
      </c>
      <c r="AD827" s="168" t="str">
        <f>CONCATENATE(Z827," ",AC827)</f>
        <v>N/A-N/A N/A_N/A</v>
      </c>
      <c r="AE827" s="172" t="str">
        <f>CONCATENATE(U827,V827,W827,X827,AA827)</f>
        <v>NANANAN/AN/A</v>
      </c>
      <c r="AF827" s="172" t="str">
        <f>IFERROR(VLOOKUP(AD827,TD!$J$70:$K$93,2,0)," ")</f>
        <v>N/A</v>
      </c>
      <c r="AG827" s="114" t="s">
        <v>349</v>
      </c>
      <c r="AH827" s="182" t="s">
        <v>193</v>
      </c>
      <c r="AI827" s="184" t="str">
        <f>CONCATENATE(PAA[[#This Row],[Id Interno]],"-",PAA[[#This Row],[tipo de Contrato (TH talento humano - B/S bienes y/o servicios)]],"-",S827,"-",T827,"-",PAA[[#This Row],[Objeto de la contratación]])</f>
        <v>20260852-BS-No a-li-Adquisición de elementos de protección personal (E.P.P.) para la atención de emergencias de la UAE Cuerpo Oficial de Bomberos de Bogotá</v>
      </c>
    </row>
    <row r="828" spans="2:35" ht="42" x14ac:dyDescent="0.35">
      <c r="B828" s="143">
        <v>20260853</v>
      </c>
      <c r="C828" s="97" t="s">
        <v>1129</v>
      </c>
      <c r="D828" s="23" t="s">
        <v>105</v>
      </c>
      <c r="E828" s="23" t="s">
        <v>363</v>
      </c>
      <c r="F828" s="23" t="s">
        <v>145</v>
      </c>
      <c r="G828" s="124" t="s">
        <v>383</v>
      </c>
      <c r="H828" s="131">
        <v>1</v>
      </c>
      <c r="I828" s="131">
        <v>15</v>
      </c>
      <c r="J828" s="122">
        <v>5650040</v>
      </c>
      <c r="K828" s="88" t="s">
        <v>398</v>
      </c>
      <c r="L828" s="163" t="s">
        <v>156</v>
      </c>
      <c r="M828" s="166" t="s">
        <v>484</v>
      </c>
      <c r="N828" s="23" t="s">
        <v>198</v>
      </c>
      <c r="O828" s="166" t="s">
        <v>887</v>
      </c>
      <c r="P828" s="166" t="s">
        <v>348</v>
      </c>
      <c r="Q828" s="53">
        <v>80111600</v>
      </c>
      <c r="R828" s="166" t="s">
        <v>210</v>
      </c>
      <c r="S828" s="166" t="str">
        <f>MID(PAA[[#This Row],[Meta Proyecto de Inversión]],1,4)</f>
        <v>8173</v>
      </c>
      <c r="T828" s="166" t="str">
        <f>MID(PAA[[#This Row],[Meta Proyecto de Inversión]],6,2)</f>
        <v>1-</v>
      </c>
      <c r="U828" s="167" t="str">
        <f>IFERROR(VLOOKUP(N828,TD!$B$54:$F$58,2,0)," ")</f>
        <v>O230117</v>
      </c>
      <c r="V828" s="167" t="str">
        <f>IFERROR(VLOOKUP(N828,TD!$B$54:$F$58,3,0)," ")</f>
        <v>4503</v>
      </c>
      <c r="W828" s="167">
        <f>IFERROR(VLOOKUP(N828,TD!$B$54:$F$58,4,0)," ")</f>
        <v>20240255</v>
      </c>
      <c r="X828" s="166" t="s">
        <v>166</v>
      </c>
      <c r="Y828" s="172" t="str">
        <f>IFERROR(VLOOKUP(X828,TD!$J$55:$K$68,2,0)," ")</f>
        <v>Servicio de capacitaciones en gestión del riesgo de incendios  a la ciudadania.</v>
      </c>
      <c r="Z828" s="168" t="str">
        <f>CONCATENATE(X828,"-",Y828)</f>
        <v>05-Servicio de capacitaciones en gestión del riesgo de incendios  a la ciudadania.</v>
      </c>
      <c r="AA828" s="166" t="s">
        <v>223</v>
      </c>
      <c r="AB828" s="172" t="str">
        <f>IFERROR(VLOOKUP(AA828,TD!$N$55:$O$70,2,0)," ")</f>
        <v>Servicio prevención y control de incendios</v>
      </c>
      <c r="AC828" s="168" t="str">
        <f>CONCATENATE(AA828,"_",AB828)</f>
        <v>035_Servicio prevención y control de incendios</v>
      </c>
      <c r="AD828" s="168" t="str">
        <f>CONCATENATE(Z828," ",AC828)</f>
        <v>05-Servicio de capacitaciones en gestión del riesgo de incendios  a la ciudadania. 035_Servicio prevención y control de incendios</v>
      </c>
      <c r="AE828" s="167" t="str">
        <f>CONCATENATE(U828,V828,W828,X828,AA828)</f>
        <v>O23011745032024025505035</v>
      </c>
      <c r="AF828" s="172" t="str">
        <f>IFERROR(VLOOKUP(AD828,TD!$J$70:$K$93,2,0)," ")</f>
        <v>PM/0131/0105/45030350255</v>
      </c>
      <c r="AG828" s="114" t="s">
        <v>385</v>
      </c>
      <c r="AH828" s="175" t="s">
        <v>194</v>
      </c>
      <c r="AI828" s="184" t="str">
        <f>CONCATENATE(PAA[[#This Row],[Id Interno]],"-",PAA[[#This Row],[tipo de Contrato (TH talento humano - B/S bienes y/o servicios)]],"-",S828,"-",T828,"-",PAA[[#This Row],[Objeto de la contratación]])</f>
        <v>20260853-TH-8173-1--Adicion y prorroga cto 281-2026 Prestar servicios de apoyo como conductor a las acciones misionales de la Subdirección de Gestión del Riesgo.</v>
      </c>
    </row>
    <row r="829" spans="2:35" ht="56" x14ac:dyDescent="0.35">
      <c r="B829" s="143">
        <v>20260854</v>
      </c>
      <c r="C829" s="97" t="s">
        <v>1130</v>
      </c>
      <c r="D829" s="23" t="s">
        <v>105</v>
      </c>
      <c r="E829" s="23" t="s">
        <v>363</v>
      </c>
      <c r="F829" s="23" t="s">
        <v>145</v>
      </c>
      <c r="G829" s="124" t="s">
        <v>383</v>
      </c>
      <c r="H829" s="131">
        <v>3</v>
      </c>
      <c r="I829" s="131">
        <v>15</v>
      </c>
      <c r="J829" s="122">
        <v>14000000</v>
      </c>
      <c r="K829" s="88" t="s">
        <v>398</v>
      </c>
      <c r="L829" s="163" t="s">
        <v>156</v>
      </c>
      <c r="M829" s="166" t="s">
        <v>484</v>
      </c>
      <c r="N829" s="23" t="s">
        <v>198</v>
      </c>
      <c r="O829" s="166" t="s">
        <v>887</v>
      </c>
      <c r="P829" s="166" t="s">
        <v>348</v>
      </c>
      <c r="Q829" s="53">
        <v>80111600</v>
      </c>
      <c r="R829" s="166" t="s">
        <v>210</v>
      </c>
      <c r="S829" s="166" t="str">
        <f>MID(PAA[[#This Row],[Meta Proyecto de Inversión]],1,4)</f>
        <v>8173</v>
      </c>
      <c r="T829" s="166" t="str">
        <f>MID(PAA[[#This Row],[Meta Proyecto de Inversión]],6,2)</f>
        <v>1-</v>
      </c>
      <c r="U829" s="167" t="str">
        <f>IFERROR(VLOOKUP(N829,TD!$B$54:$F$58,2,0)," ")</f>
        <v>O230117</v>
      </c>
      <c r="V829" s="167" t="str">
        <f>IFERROR(VLOOKUP(N829,TD!$B$54:$F$58,3,0)," ")</f>
        <v>4503</v>
      </c>
      <c r="W829" s="167">
        <f>IFERROR(VLOOKUP(N829,TD!$B$54:$F$58,4,0)," ")</f>
        <v>20240255</v>
      </c>
      <c r="X829" s="166" t="s">
        <v>166</v>
      </c>
      <c r="Y829" s="172" t="str">
        <f>IFERROR(VLOOKUP(X829,TD!$J$55:$K$68,2,0)," ")</f>
        <v>Servicio de capacitaciones en gestión del riesgo de incendios  a la ciudadania.</v>
      </c>
      <c r="Z829" s="168" t="str">
        <f>CONCATENATE(X829,"-",Y829)</f>
        <v>05-Servicio de capacitaciones en gestión del riesgo de incendios  a la ciudadania.</v>
      </c>
      <c r="AA829" s="166" t="s">
        <v>223</v>
      </c>
      <c r="AB829" s="172" t="str">
        <f>IFERROR(VLOOKUP(AA829,TD!$N$55:$O$70,2,0)," ")</f>
        <v>Servicio prevención y control de incendios</v>
      </c>
      <c r="AC829" s="168" t="str">
        <f>CONCATENATE(AA829,"_",AB829)</f>
        <v>035_Servicio prevención y control de incendios</v>
      </c>
      <c r="AD829" s="168" t="str">
        <f>CONCATENATE(Z829," ",AC829)</f>
        <v>05-Servicio de capacitaciones en gestión del riesgo de incendios  a la ciudadania. 035_Servicio prevención y control de incendios</v>
      </c>
      <c r="AE829" s="167" t="str">
        <f>CONCATENATE(U829,V829,W829,X829,AA829)</f>
        <v>O23011745032024025505035</v>
      </c>
      <c r="AF829" s="172" t="str">
        <f>IFERROR(VLOOKUP(AD829,TD!$J$70:$K$93,2,0)," ")</f>
        <v>PM/0131/0105/45030350255</v>
      </c>
      <c r="AG829" s="114" t="s">
        <v>385</v>
      </c>
      <c r="AH829" s="175" t="s">
        <v>194</v>
      </c>
      <c r="AI829" s="184" t="str">
        <f>CONCATENATE(PAA[[#This Row],[Id Interno]],"-",PAA[[#This Row],[tipo de Contrato (TH talento humano - B/S bienes y/o servicios)]],"-",S829,"-",T829,"-",PAA[[#This Row],[Objeto de la contratación]])</f>
        <v>20260854-TH-8173-1--Adicion y prorroga cto 243-2026 Prestar servicios de apoyo para el seguimiento y respuesta de requerimientos ciudadanos relacionados con la misionalidad de la Subdirección de Gestión del Riesgo_SGR</v>
      </c>
    </row>
    <row r="830" spans="2:35" ht="56" x14ac:dyDescent="0.35">
      <c r="B830" s="143">
        <v>20260855</v>
      </c>
      <c r="C830" s="97" t="s">
        <v>1245</v>
      </c>
      <c r="D830" s="23" t="s">
        <v>105</v>
      </c>
      <c r="E830" s="23" t="s">
        <v>363</v>
      </c>
      <c r="F830" s="23" t="s">
        <v>144</v>
      </c>
      <c r="G830" s="124" t="s">
        <v>381</v>
      </c>
      <c r="H830" s="131">
        <v>4</v>
      </c>
      <c r="I830" s="131">
        <v>0</v>
      </c>
      <c r="J830" s="122">
        <v>20000000</v>
      </c>
      <c r="K830" s="88" t="s">
        <v>398</v>
      </c>
      <c r="L830" s="163" t="s">
        <v>156</v>
      </c>
      <c r="M830" s="166" t="s">
        <v>484</v>
      </c>
      <c r="N830" s="23" t="s">
        <v>198</v>
      </c>
      <c r="O830" s="166" t="s">
        <v>887</v>
      </c>
      <c r="P830" s="166" t="s">
        <v>348</v>
      </c>
      <c r="Q830" s="53">
        <v>80111600</v>
      </c>
      <c r="R830" s="166" t="s">
        <v>210</v>
      </c>
      <c r="S830" s="166" t="str">
        <f>MID(PAA[[#This Row],[Meta Proyecto de Inversión]],1,4)</f>
        <v>8173</v>
      </c>
      <c r="T830" s="166" t="str">
        <f>MID(PAA[[#This Row],[Meta Proyecto de Inversión]],6,2)</f>
        <v>1-</v>
      </c>
      <c r="U830" s="167" t="str">
        <f>IFERROR(VLOOKUP(N830,TD!$B$54:$F$58,2,0)," ")</f>
        <v>O230117</v>
      </c>
      <c r="V830" s="167" t="str">
        <f>IFERROR(VLOOKUP(N830,TD!$B$54:$F$58,3,0)," ")</f>
        <v>4503</v>
      </c>
      <c r="W830" s="167">
        <f>IFERROR(VLOOKUP(N830,TD!$B$54:$F$58,4,0)," ")</f>
        <v>20240255</v>
      </c>
      <c r="X830" s="166" t="s">
        <v>166</v>
      </c>
      <c r="Y830" s="172" t="str">
        <f>IFERROR(VLOOKUP(X830,TD!$J$55:$K$68,2,0)," ")</f>
        <v>Servicio de capacitaciones en gestión del riesgo de incendios  a la ciudadania.</v>
      </c>
      <c r="Z830" s="168" t="str">
        <f>CONCATENATE(X830,"-",Y830)</f>
        <v>05-Servicio de capacitaciones en gestión del riesgo de incendios  a la ciudadania.</v>
      </c>
      <c r="AA830" s="166" t="s">
        <v>223</v>
      </c>
      <c r="AB830" s="172" t="str">
        <f>IFERROR(VLOOKUP(AA830,TD!$N$55:$O$70,2,0)," ")</f>
        <v>Servicio prevención y control de incendios</v>
      </c>
      <c r="AC830" s="168" t="str">
        <f>CONCATENATE(AA830,"_",AB830)</f>
        <v>035_Servicio prevención y control de incendios</v>
      </c>
      <c r="AD830" s="168" t="str">
        <f>CONCATENATE(Z830," ",AC830)</f>
        <v>05-Servicio de capacitaciones en gestión del riesgo de incendios  a la ciudadania. 035_Servicio prevención y control de incendios</v>
      </c>
      <c r="AE830" s="167" t="str">
        <f>CONCATENATE(U830,V830,W830,X830,AA830)</f>
        <v>O23011745032024025505035</v>
      </c>
      <c r="AF830" s="172" t="str">
        <f>IFERROR(VLOOKUP(AD830,TD!$J$70:$K$93,2,0)," ")</f>
        <v>PM/0131/0105/45030350255</v>
      </c>
      <c r="AG830" s="114" t="s">
        <v>385</v>
      </c>
      <c r="AH830" s="175" t="s">
        <v>193</v>
      </c>
      <c r="AI830" s="184" t="str">
        <f>CONCATENATE(PAA[[#This Row],[Id Interno]],"-",PAA[[#This Row],[tipo de Contrato (TH talento humano - B/S bienes y/o servicios)]],"-",S830,"-",T830,"-",PAA[[#This Row],[Objeto de la contratación]])</f>
        <v>20260855-TH-8173-1--  Prestar servicios profesionales para el desarrollo de los contenidos graficos, piezas comunicativa y de imagen institucional para la Subdirección de Gestión del riesgo._SGR</v>
      </c>
    </row>
    <row r="831" spans="2:35" ht="56" x14ac:dyDescent="0.35">
      <c r="B831" s="143">
        <v>20260856</v>
      </c>
      <c r="C831" s="97" t="s">
        <v>1131</v>
      </c>
      <c r="D831" s="23" t="s">
        <v>105</v>
      </c>
      <c r="E831" s="23" t="s">
        <v>363</v>
      </c>
      <c r="F831" s="23" t="s">
        <v>144</v>
      </c>
      <c r="G831" s="124" t="s">
        <v>383</v>
      </c>
      <c r="H831" s="131">
        <v>3</v>
      </c>
      <c r="I831" s="131">
        <v>0</v>
      </c>
      <c r="J831" s="122">
        <v>13750000</v>
      </c>
      <c r="K831" s="88" t="s">
        <v>398</v>
      </c>
      <c r="L831" s="163" t="s">
        <v>156</v>
      </c>
      <c r="M831" s="166" t="s">
        <v>484</v>
      </c>
      <c r="N831" s="23" t="s">
        <v>198</v>
      </c>
      <c r="O831" s="166" t="s">
        <v>887</v>
      </c>
      <c r="P831" s="166" t="s">
        <v>348</v>
      </c>
      <c r="Q831" s="53">
        <v>80111600</v>
      </c>
      <c r="R831" s="166" t="s">
        <v>214</v>
      </c>
      <c r="S831" s="166" t="str">
        <f>MID(PAA[[#This Row],[Meta Proyecto de Inversión]],1,4)</f>
        <v>8173</v>
      </c>
      <c r="T831" s="166" t="str">
        <f>MID(PAA[[#This Row],[Meta Proyecto de Inversión]],6,2)</f>
        <v>5-</v>
      </c>
      <c r="U831" s="167" t="str">
        <f>IFERROR(VLOOKUP(N831,TD!$B$54:$F$58,2,0)," ")</f>
        <v>O230117</v>
      </c>
      <c r="V831" s="167" t="str">
        <f>IFERROR(VLOOKUP(N831,TD!$B$54:$F$58,3,0)," ")</f>
        <v>4503</v>
      </c>
      <c r="W831" s="167">
        <f>IFERROR(VLOOKUP(N831,TD!$B$54:$F$58,4,0)," ")</f>
        <v>20240255</v>
      </c>
      <c r="X831" s="166">
        <v>16</v>
      </c>
      <c r="Y831" s="172" t="str">
        <f>IFERROR(VLOOKUP(X831,TD!$J$55:$K$68,2,0)," ")</f>
        <v>Servicio de monitoreo y seguimiento para la gestión del riesgo</v>
      </c>
      <c r="Z831" s="168" t="str">
        <f>CONCATENATE(X831,"-",Y831)</f>
        <v>16-Servicio de monitoreo y seguimiento para la gestión del riesgo</v>
      </c>
      <c r="AA831" s="166" t="s">
        <v>224</v>
      </c>
      <c r="AB831" s="172" t="str">
        <f>IFERROR(VLOOKUP(AA831,TD!$N$55:$O$70,2,0)," ")</f>
        <v>Servicio de monitoreo y seguimiento para la gestión del riesgo</v>
      </c>
      <c r="AC831" s="168" t="str">
        <f>CONCATENATE(AA831,"_",AB831)</f>
        <v>018_Servicio de monitoreo y seguimiento para la gestión del riesgo</v>
      </c>
      <c r="AD831" s="168" t="str">
        <f>CONCATENATE(Z831," ",AC831)</f>
        <v>16-Servicio de monitoreo y seguimiento para la gestión del riesgo 018_Servicio de monitoreo y seguimiento para la gestión del riesgo</v>
      </c>
      <c r="AE831" s="167" t="str">
        <f>CONCATENATE(U831,V831,W831,X831,AA831)</f>
        <v>O23011745032024025516018</v>
      </c>
      <c r="AF831" s="172" t="str">
        <f>IFERROR(VLOOKUP(AD831,TD!$J$70:$K$93,2,0)," ")</f>
        <v>PM/0131/0116/45030180255</v>
      </c>
      <c r="AG831" s="114" t="s">
        <v>385</v>
      </c>
      <c r="AH831" s="175" t="s">
        <v>194</v>
      </c>
      <c r="AI831" s="184" t="str">
        <f>CONCATENATE(PAA[[#This Row],[Id Interno]],"-",PAA[[#This Row],[tipo de Contrato (TH talento humano - B/S bienes y/o servicios)]],"-",S831,"-",T831,"-",PAA[[#This Row],[Objeto de la contratación]])</f>
        <v>20260856-TH-8173-5--Adicion y prorroga cto  397-2026 Prestar servicios profesionales en las actividades de identificacion y caracterizacion  de escenarios  de riesgos a cargo de la Subdirección de Gestión del Riesgo._SGR</v>
      </c>
    </row>
    <row r="832" spans="2:35" ht="56" x14ac:dyDescent="0.35">
      <c r="B832" s="143">
        <v>20260857</v>
      </c>
      <c r="C832" s="97" t="s">
        <v>1132</v>
      </c>
      <c r="D832" s="23" t="s">
        <v>105</v>
      </c>
      <c r="E832" s="23" t="s">
        <v>363</v>
      </c>
      <c r="F832" s="23" t="s">
        <v>144</v>
      </c>
      <c r="G832" s="124" t="s">
        <v>383</v>
      </c>
      <c r="H832" s="131">
        <v>3</v>
      </c>
      <c r="I832" s="131">
        <v>0</v>
      </c>
      <c r="J832" s="122">
        <v>16500000</v>
      </c>
      <c r="K832" s="88" t="s">
        <v>398</v>
      </c>
      <c r="L832" s="163" t="s">
        <v>156</v>
      </c>
      <c r="M832" s="166" t="s">
        <v>484</v>
      </c>
      <c r="N832" s="23" t="s">
        <v>198</v>
      </c>
      <c r="O832" s="166" t="s">
        <v>887</v>
      </c>
      <c r="P832" s="166" t="s">
        <v>348</v>
      </c>
      <c r="Q832" s="53">
        <v>80111600</v>
      </c>
      <c r="R832" s="166" t="s">
        <v>214</v>
      </c>
      <c r="S832" s="166" t="str">
        <f>MID(PAA[[#This Row],[Meta Proyecto de Inversión]],1,4)</f>
        <v>8173</v>
      </c>
      <c r="T832" s="166" t="str">
        <f>MID(PAA[[#This Row],[Meta Proyecto de Inversión]],6,2)</f>
        <v>5-</v>
      </c>
      <c r="U832" s="167" t="str">
        <f>IFERROR(VLOOKUP(N832,TD!$B$54:$F$58,2,0)," ")</f>
        <v>O230117</v>
      </c>
      <c r="V832" s="167" t="str">
        <f>IFERROR(VLOOKUP(N832,TD!$B$54:$F$58,3,0)," ")</f>
        <v>4503</v>
      </c>
      <c r="W832" s="167">
        <f>IFERROR(VLOOKUP(N832,TD!$B$54:$F$58,4,0)," ")</f>
        <v>20240255</v>
      </c>
      <c r="X832" s="166">
        <v>16</v>
      </c>
      <c r="Y832" s="172" t="str">
        <f>IFERROR(VLOOKUP(X832,TD!$J$55:$K$68,2,0)," ")</f>
        <v>Servicio de monitoreo y seguimiento para la gestión del riesgo</v>
      </c>
      <c r="Z832" s="168" t="str">
        <f>CONCATENATE(X832,"-",Y832)</f>
        <v>16-Servicio de monitoreo y seguimiento para la gestión del riesgo</v>
      </c>
      <c r="AA832" s="166" t="s">
        <v>224</v>
      </c>
      <c r="AB832" s="172" t="str">
        <f>IFERROR(VLOOKUP(AA832,TD!$N$55:$O$70,2,0)," ")</f>
        <v>Servicio de monitoreo y seguimiento para la gestión del riesgo</v>
      </c>
      <c r="AC832" s="168" t="str">
        <f>CONCATENATE(AA832,"_",AB832)</f>
        <v>018_Servicio de monitoreo y seguimiento para la gestión del riesgo</v>
      </c>
      <c r="AD832" s="168" t="str">
        <f>CONCATENATE(Z832," ",AC832)</f>
        <v>16-Servicio de monitoreo y seguimiento para la gestión del riesgo 018_Servicio de monitoreo y seguimiento para la gestión del riesgo</v>
      </c>
      <c r="AE832" s="167" t="str">
        <f>CONCATENATE(U832,V832,W832,X832,AA832)</f>
        <v>O23011745032024025516018</v>
      </c>
      <c r="AF832" s="172" t="str">
        <f>IFERROR(VLOOKUP(AD832,TD!$J$70:$K$93,2,0)," ")</f>
        <v>PM/0131/0116/45030180255</v>
      </c>
      <c r="AG832" s="114" t="s">
        <v>385</v>
      </c>
      <c r="AH832" s="175" t="s">
        <v>194</v>
      </c>
      <c r="AI832" s="184" t="str">
        <f>CONCATENATE(PAA[[#This Row],[Id Interno]],"-",PAA[[#This Row],[tipo de Contrato (TH talento humano - B/S bienes y/o servicios)]],"-",S832,"-",T832,"-",PAA[[#This Row],[Objeto de la contratación]])</f>
        <v>20260857-TH-8173-5--Adicion y prorroga cto  369-2026  Prestar servicios profesionales en las actividades de identificacion y caracterizacion  de escenarios  de riesgos a cargo de la Subdirección de Gestión del Riesgo._SGR</v>
      </c>
    </row>
    <row r="833" spans="2:35" ht="56" x14ac:dyDescent="0.35">
      <c r="B833" s="143">
        <v>20260858</v>
      </c>
      <c r="C833" s="97" t="s">
        <v>1133</v>
      </c>
      <c r="D833" s="23" t="s">
        <v>105</v>
      </c>
      <c r="E833" s="23" t="s">
        <v>363</v>
      </c>
      <c r="F833" s="23" t="s">
        <v>144</v>
      </c>
      <c r="G833" s="124" t="s">
        <v>383</v>
      </c>
      <c r="H833" s="131">
        <v>3</v>
      </c>
      <c r="I833" s="131">
        <v>0</v>
      </c>
      <c r="J833" s="122">
        <v>18000000</v>
      </c>
      <c r="K833" s="88" t="s">
        <v>398</v>
      </c>
      <c r="L833" s="163" t="s">
        <v>156</v>
      </c>
      <c r="M833" s="166" t="s">
        <v>484</v>
      </c>
      <c r="N833" s="23" t="s">
        <v>198</v>
      </c>
      <c r="O833" s="166" t="s">
        <v>887</v>
      </c>
      <c r="P833" s="166" t="s">
        <v>348</v>
      </c>
      <c r="Q833" s="53">
        <v>80111600</v>
      </c>
      <c r="R833" s="166" t="s">
        <v>215</v>
      </c>
      <c r="S833" s="166" t="str">
        <f>MID(PAA[[#This Row],[Meta Proyecto de Inversión]],1,4)</f>
        <v>8173</v>
      </c>
      <c r="T833" s="166" t="str">
        <f>MID(PAA[[#This Row],[Meta Proyecto de Inversión]],6,2)</f>
        <v>6-</v>
      </c>
      <c r="U833" s="167" t="str">
        <f>IFERROR(VLOOKUP(N833,TD!$B$54:$F$58,2,0)," ")</f>
        <v>O230117</v>
      </c>
      <c r="V833" s="167" t="str">
        <f>IFERROR(VLOOKUP(N833,TD!$B$54:$F$58,3,0)," ")</f>
        <v>4503</v>
      </c>
      <c r="W833" s="167">
        <f>IFERROR(VLOOKUP(N833,TD!$B$54:$F$58,4,0)," ")</f>
        <v>20240255</v>
      </c>
      <c r="X833" s="166">
        <v>16</v>
      </c>
      <c r="Y833" s="172" t="str">
        <f>IFERROR(VLOOKUP(X833,TD!$J$55:$K$68,2,0)," ")</f>
        <v>Servicio de monitoreo y seguimiento para la gestión del riesgo</v>
      </c>
      <c r="Z833" s="168" t="str">
        <f>CONCATENATE(X833,"-",Y833)</f>
        <v>16-Servicio de monitoreo y seguimiento para la gestión del riesgo</v>
      </c>
      <c r="AA833" s="166" t="s">
        <v>224</v>
      </c>
      <c r="AB833" s="172" t="str">
        <f>IFERROR(VLOOKUP(AA833,TD!$N$55:$O$70,2,0)," ")</f>
        <v>Servicio de monitoreo y seguimiento para la gestión del riesgo</v>
      </c>
      <c r="AC833" s="168" t="str">
        <f>CONCATENATE(AA833,"_",AB833)</f>
        <v>018_Servicio de monitoreo y seguimiento para la gestión del riesgo</v>
      </c>
      <c r="AD833" s="168" t="str">
        <f>CONCATENATE(Z833," ",AC833)</f>
        <v>16-Servicio de monitoreo y seguimiento para la gestión del riesgo 018_Servicio de monitoreo y seguimiento para la gestión del riesgo</v>
      </c>
      <c r="AE833" s="167" t="str">
        <f>CONCATENATE(U833,V833,W833,X833,AA833)</f>
        <v>O23011745032024025516018</v>
      </c>
      <c r="AF833" s="172" t="str">
        <f>IFERROR(VLOOKUP(AD833,TD!$J$70:$K$93,2,0)," ")</f>
        <v>PM/0131/0116/45030180255</v>
      </c>
      <c r="AG833" s="114" t="s">
        <v>385</v>
      </c>
      <c r="AH833" s="175" t="s">
        <v>194</v>
      </c>
      <c r="AI833" s="184" t="str">
        <f>CONCATENATE(PAA[[#This Row],[Id Interno]],"-",PAA[[#This Row],[tipo de Contrato (TH talento humano - B/S bienes y/o servicios)]],"-",S833,"-",T833,"-",PAA[[#This Row],[Objeto de la contratación]])</f>
        <v>20260858-TH-8173-6--Adicion y prorroga cto  59-2026 Prestar servicios profesionales en las actividades de monitoreo del riesgo para la Subdirección de Gestión del Riesgo._SGR</v>
      </c>
    </row>
    <row r="834" spans="2:35" ht="42" x14ac:dyDescent="0.35">
      <c r="B834" s="143">
        <v>20260859</v>
      </c>
      <c r="C834" s="97" t="s">
        <v>1134</v>
      </c>
      <c r="D834" s="23" t="s">
        <v>105</v>
      </c>
      <c r="E834" s="23" t="s">
        <v>363</v>
      </c>
      <c r="F834" s="23" t="s">
        <v>144</v>
      </c>
      <c r="G834" s="124" t="s">
        <v>383</v>
      </c>
      <c r="H834" s="131">
        <v>1</v>
      </c>
      <c r="I834" s="131">
        <v>0</v>
      </c>
      <c r="J834" s="122">
        <v>8000000</v>
      </c>
      <c r="K834" s="88" t="s">
        <v>398</v>
      </c>
      <c r="L834" s="163" t="s">
        <v>156</v>
      </c>
      <c r="M834" s="166" t="s">
        <v>484</v>
      </c>
      <c r="N834" s="23" t="s">
        <v>198</v>
      </c>
      <c r="O834" s="166" t="s">
        <v>887</v>
      </c>
      <c r="P834" s="166" t="s">
        <v>348</v>
      </c>
      <c r="Q834" s="53">
        <v>80111600</v>
      </c>
      <c r="R834" s="166" t="s">
        <v>214</v>
      </c>
      <c r="S834" s="166" t="str">
        <f>MID(PAA[[#This Row],[Meta Proyecto de Inversión]],1,4)</f>
        <v>8173</v>
      </c>
      <c r="T834" s="166" t="str">
        <f>MID(PAA[[#This Row],[Meta Proyecto de Inversión]],6,2)</f>
        <v>5-</v>
      </c>
      <c r="U834" s="167" t="str">
        <f>IFERROR(VLOOKUP(N834,TD!$B$54:$F$58,2,0)," ")</f>
        <v>O230117</v>
      </c>
      <c r="V834" s="167" t="str">
        <f>IFERROR(VLOOKUP(N834,TD!$B$54:$F$58,3,0)," ")</f>
        <v>4503</v>
      </c>
      <c r="W834" s="167">
        <f>IFERROR(VLOOKUP(N834,TD!$B$54:$F$58,4,0)," ")</f>
        <v>20240255</v>
      </c>
      <c r="X834" s="166">
        <v>16</v>
      </c>
      <c r="Y834" s="172" t="str">
        <f>IFERROR(VLOOKUP(X834,TD!$J$55:$K$68,2,0)," ")</f>
        <v>Servicio de monitoreo y seguimiento para la gestión del riesgo</v>
      </c>
      <c r="Z834" s="168" t="str">
        <f>CONCATENATE(X834,"-",Y834)</f>
        <v>16-Servicio de monitoreo y seguimiento para la gestión del riesgo</v>
      </c>
      <c r="AA834" s="166" t="s">
        <v>224</v>
      </c>
      <c r="AB834" s="172" t="str">
        <f>IFERROR(VLOOKUP(AA834,TD!$N$55:$O$70,2,0)," ")</f>
        <v>Servicio de monitoreo y seguimiento para la gestión del riesgo</v>
      </c>
      <c r="AC834" s="168" t="str">
        <f>CONCATENATE(AA834,"_",AB834)</f>
        <v>018_Servicio de monitoreo y seguimiento para la gestión del riesgo</v>
      </c>
      <c r="AD834" s="168" t="str">
        <f>CONCATENATE(Z834," ",AC834)</f>
        <v>16-Servicio de monitoreo y seguimiento para la gestión del riesgo 018_Servicio de monitoreo y seguimiento para la gestión del riesgo</v>
      </c>
      <c r="AE834" s="167" t="str">
        <f>CONCATENATE(U834,V834,W834,X834,AA834)</f>
        <v>O23011745032024025516018</v>
      </c>
      <c r="AF834" s="172" t="str">
        <f>IFERROR(VLOOKUP(AD834,TD!$J$70:$K$93,2,0)," ")</f>
        <v>PM/0131/0116/45030180255</v>
      </c>
      <c r="AG834" s="114" t="s">
        <v>385</v>
      </c>
      <c r="AH834" s="175" t="s">
        <v>194</v>
      </c>
      <c r="AI834" s="184" t="str">
        <f>CONCATENATE(PAA[[#This Row],[Id Interno]],"-",PAA[[#This Row],[tipo de Contrato (TH talento humano - B/S bienes y/o servicios)]],"-",S834,"-",T834,"-",PAA[[#This Row],[Objeto de la contratación]])</f>
        <v>20260859-TH-8173-5--Adicion y prorroga cto  179-2026 Prestar  servicios profesionales  en las actividades de proyeccion e innovacion para la Subdirección de Gestión del Riesgo._SGR</v>
      </c>
    </row>
    <row r="835" spans="2:35" ht="42" x14ac:dyDescent="0.35">
      <c r="B835" s="155">
        <v>20260860</v>
      </c>
      <c r="C835" s="97" t="s">
        <v>1142</v>
      </c>
      <c r="D835" s="97" t="s">
        <v>105</v>
      </c>
      <c r="E835" s="97" t="s">
        <v>363</v>
      </c>
      <c r="F835" s="97" t="s">
        <v>144</v>
      </c>
      <c r="G835" s="124" t="s">
        <v>379</v>
      </c>
      <c r="H835" s="150">
        <v>6</v>
      </c>
      <c r="I835" s="150">
        <v>0</v>
      </c>
      <c r="J835" s="114">
        <v>38800000</v>
      </c>
      <c r="K835" s="121" t="s">
        <v>398</v>
      </c>
      <c r="L835" s="164" t="s">
        <v>158</v>
      </c>
      <c r="M835" s="171" t="s">
        <v>421</v>
      </c>
      <c r="N835" s="97" t="s">
        <v>198</v>
      </c>
      <c r="O835" s="171" t="s">
        <v>887</v>
      </c>
      <c r="P835" s="171" t="s">
        <v>348</v>
      </c>
      <c r="Q835" s="123">
        <v>80111600</v>
      </c>
      <c r="R835" s="171" t="s">
        <v>210</v>
      </c>
      <c r="S835" s="168" t="str">
        <f>MID(PAA[[#This Row],[Meta Proyecto de Inversión]],1,4)</f>
        <v>8173</v>
      </c>
      <c r="T835" s="168" t="str">
        <f>MID(PAA[[#This Row],[Meta Proyecto de Inversión]],6,2)</f>
        <v>1-</v>
      </c>
      <c r="U835" s="172" t="str">
        <f>IFERROR(VLOOKUP(N835,TD!$B$54:$F$58,2,0)," ")</f>
        <v>O230117</v>
      </c>
      <c r="V835" s="172" t="str">
        <f>IFERROR(VLOOKUP(N835,TD!$B$54:$F$58,3,0)," ")</f>
        <v>4503</v>
      </c>
      <c r="W835" s="172">
        <f>IFERROR(VLOOKUP(N835,TD!$B$54:$F$58,4,0)," ")</f>
        <v>20240255</v>
      </c>
      <c r="X835" s="171" t="s">
        <v>164</v>
      </c>
      <c r="Y835" s="172" t="str">
        <f>IFERROR(VLOOKUP(X835,TD!$J$55:$K$68,2,0)," ")</f>
        <v>Servicio de atención a incidentes y emergencias.</v>
      </c>
      <c r="Z835" s="168" t="str">
        <f>CONCATENATE(X835,"-",Y835)</f>
        <v>04-Servicio de atención a incidentes y emergencias.</v>
      </c>
      <c r="AA835" s="171" t="s">
        <v>221</v>
      </c>
      <c r="AB835" s="172" t="str">
        <f>IFERROR(VLOOKUP(AA835,TD!$N$55:$O$70,2,0)," ")</f>
        <v>Servicio de atención a emergencias y desastres</v>
      </c>
      <c r="AC835" s="168" t="str">
        <f>CONCATENATE(AA835,"_",AB835)</f>
        <v>004_Servicio de atención a emergencias y desastres</v>
      </c>
      <c r="AD835" s="168" t="str">
        <f>CONCATENATE(Z835," ",AC835)</f>
        <v>04-Servicio de atención a incidentes y emergencias. 004_Servicio de atención a emergencias y desastres</v>
      </c>
      <c r="AE835" s="172" t="str">
        <f>CONCATENATE(U835,V835,W835,X835,AA835)</f>
        <v>O23011745032024025504004</v>
      </c>
      <c r="AF835" s="172" t="str">
        <f>IFERROR(VLOOKUP(AD835,TD!$J$70:$K$93,2,0)," ")</f>
        <v>PM/0131/0104/45030040255</v>
      </c>
      <c r="AG835" s="114" t="s">
        <v>385</v>
      </c>
      <c r="AH835" s="182" t="s">
        <v>193</v>
      </c>
      <c r="AI835" s="184" t="str">
        <f>CONCATENATE(PAA[[#This Row],[Id Interno]],"-",PAA[[#This Row],[tipo de Contrato (TH talento humano - B/S bienes y/o servicios)]],"-",S835,"-",T835,"-",PAA[[#This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36" spans="2:35" ht="84" x14ac:dyDescent="0.35">
      <c r="B836" s="155">
        <v>20260861</v>
      </c>
      <c r="C836" s="97" t="s">
        <v>1223</v>
      </c>
      <c r="D836" s="97" t="s">
        <v>105</v>
      </c>
      <c r="E836" s="97" t="s">
        <v>363</v>
      </c>
      <c r="F836" s="97" t="s">
        <v>144</v>
      </c>
      <c r="G836" s="124" t="s">
        <v>380</v>
      </c>
      <c r="H836" s="150">
        <v>5</v>
      </c>
      <c r="I836" s="150">
        <v>0</v>
      </c>
      <c r="J836" s="114">
        <v>29000000</v>
      </c>
      <c r="K836" s="121" t="s">
        <v>398</v>
      </c>
      <c r="L836" s="164" t="s">
        <v>158</v>
      </c>
      <c r="M836" s="171" t="s">
        <v>421</v>
      </c>
      <c r="N836" s="97" t="s">
        <v>198</v>
      </c>
      <c r="O836" s="171" t="s">
        <v>887</v>
      </c>
      <c r="P836" s="171" t="s">
        <v>348</v>
      </c>
      <c r="Q836" s="123">
        <v>80111600</v>
      </c>
      <c r="R836" s="171" t="s">
        <v>210</v>
      </c>
      <c r="S836" s="168" t="str">
        <f>MID(PAA[[#This Row],[Meta Proyecto de Inversión]],1,4)</f>
        <v>8173</v>
      </c>
      <c r="T836" s="168" t="str">
        <f>MID(PAA[[#This Row],[Meta Proyecto de Inversión]],6,2)</f>
        <v>1-</v>
      </c>
      <c r="U836" s="172" t="str">
        <f>IFERROR(VLOOKUP(N836,TD!$B$54:$F$58,2,0)," ")</f>
        <v>O230117</v>
      </c>
      <c r="V836" s="172" t="str">
        <f>IFERROR(VLOOKUP(N836,TD!$B$54:$F$58,3,0)," ")</f>
        <v>4503</v>
      </c>
      <c r="W836" s="172">
        <f>IFERROR(VLOOKUP(N836,TD!$B$54:$F$58,4,0)," ")</f>
        <v>20240255</v>
      </c>
      <c r="X836" s="171" t="s">
        <v>164</v>
      </c>
      <c r="Y836" s="172" t="str">
        <f>IFERROR(VLOOKUP(X836,TD!$J$55:$K$68,2,0)," ")</f>
        <v>Servicio de atención a incidentes y emergencias.</v>
      </c>
      <c r="Z836" s="168" t="str">
        <f>CONCATENATE(X836,"-",Y836)</f>
        <v>04-Servicio de atención a incidentes y emergencias.</v>
      </c>
      <c r="AA836" s="171" t="s">
        <v>221</v>
      </c>
      <c r="AB836" s="172" t="str">
        <f>IFERROR(VLOOKUP(AA836,TD!$N$55:$O$70,2,0)," ")</f>
        <v>Servicio de atención a emergencias y desastres</v>
      </c>
      <c r="AC836" s="168" t="str">
        <f>CONCATENATE(AA836,"_",AB836)</f>
        <v>004_Servicio de atención a emergencias y desastres</v>
      </c>
      <c r="AD836" s="168" t="str">
        <f>CONCATENATE(Z836," ",AC836)</f>
        <v>04-Servicio de atención a incidentes y emergencias. 004_Servicio de atención a emergencias y desastres</v>
      </c>
      <c r="AE836" s="172" t="str">
        <f>CONCATENATE(U836,V836,W836,X836,AA836)</f>
        <v>O23011745032024025504004</v>
      </c>
      <c r="AF836" s="172" t="str">
        <f>IFERROR(VLOOKUP(AD836,TD!$J$70:$K$93,2,0)," ")</f>
        <v>PM/0131/0104/45030040255</v>
      </c>
      <c r="AG836" s="114" t="s">
        <v>385</v>
      </c>
      <c r="AH836" s="182" t="s">
        <v>193</v>
      </c>
      <c r="AI836" s="184" t="str">
        <f>CONCATENATE(PAA[[#This Row],[Id Interno]],"-",PAA[[#This Row],[tipo de Contrato (TH talento humano - B/S bienes y/o servicios)]],"-",S836,"-",T836,"-",PAA[[#This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37" spans="2:35" ht="70" x14ac:dyDescent="0.35">
      <c r="B837" s="155">
        <v>20260862</v>
      </c>
      <c r="C837" s="97" t="s">
        <v>1332</v>
      </c>
      <c r="D837" s="97" t="s">
        <v>105</v>
      </c>
      <c r="E837" s="97" t="s">
        <v>363</v>
      </c>
      <c r="F837" s="97" t="s">
        <v>145</v>
      </c>
      <c r="G837" s="124" t="s">
        <v>382</v>
      </c>
      <c r="H837" s="150">
        <v>3</v>
      </c>
      <c r="I837" s="150">
        <v>1</v>
      </c>
      <c r="J837" s="114">
        <v>10920000</v>
      </c>
      <c r="K837" s="121" t="s">
        <v>398</v>
      </c>
      <c r="L837" s="164" t="s">
        <v>153</v>
      </c>
      <c r="M837" s="171" t="s">
        <v>420</v>
      </c>
      <c r="N837" s="97" t="s">
        <v>197</v>
      </c>
      <c r="O837" s="171" t="s">
        <v>886</v>
      </c>
      <c r="P837" s="171" t="s">
        <v>348</v>
      </c>
      <c r="Q837" s="123">
        <v>80111600</v>
      </c>
      <c r="R837" s="171" t="s">
        <v>208</v>
      </c>
      <c r="S837" s="171" t="str">
        <f>MID(PAA[[#This Row],[Meta Proyecto de Inversión]],1,4)</f>
        <v>8126</v>
      </c>
      <c r="T837" s="171" t="str">
        <f>MID(PAA[[#This Row],[Meta Proyecto de Inversión]],6,2)</f>
        <v>9-</v>
      </c>
      <c r="U837" s="172" t="str">
        <f>IFERROR(VLOOKUP(N837,TD!$B$54:$F$58,2,0)," ")</f>
        <v>O230117</v>
      </c>
      <c r="V837" s="172" t="str">
        <f>IFERROR(VLOOKUP(N837,TD!$B$54:$F$58,3,0)," ")</f>
        <v>4599</v>
      </c>
      <c r="W837" s="172">
        <f>IFERROR(VLOOKUP(N837,TD!$B$54:$F$58,4,0)," ")</f>
        <v>20240207</v>
      </c>
      <c r="X837" s="171" t="s">
        <v>174</v>
      </c>
      <c r="Y837" s="172" t="str">
        <f>IFERROR(VLOOKUP(X837,TD!$J$55:$K$68,2,0)," ")</f>
        <v>Infraestructura física, mantenimiento y dotación (Sedes construidas, mantenidas reforzadas)</v>
      </c>
      <c r="Z837" s="171" t="str">
        <f>CONCATENATE(X837,"-",Y837)</f>
        <v>08-Infraestructura física, mantenimiento y dotación (Sedes construidas, mantenidas reforzadas)</v>
      </c>
      <c r="AA837" s="171" t="s">
        <v>227</v>
      </c>
      <c r="AB837" s="172" t="str">
        <f>IFERROR(VLOOKUP(AA837,TD!$N$55:$O$70,2,0)," ")</f>
        <v>Sedes mantenidas</v>
      </c>
      <c r="AC837" s="171" t="str">
        <f>CONCATENATE(AA837,"_",AB837)</f>
        <v>016_Sedes mantenidas</v>
      </c>
      <c r="AD837" s="171" t="str">
        <f>CONCATENATE(Z837," ",AC837)</f>
        <v>08-Infraestructura física, mantenimiento y dotación (Sedes construidas, mantenidas reforzadas) 016_Sedes mantenidas</v>
      </c>
      <c r="AE837" s="172" t="str">
        <f>CONCATENATE(U837,V837,W837,X837,AA837)</f>
        <v>O23011745992024020708016</v>
      </c>
      <c r="AF837" s="172" t="str">
        <f>IFERROR(VLOOKUP(AD837,TD!$J$70:$K$93,2,0)," ")</f>
        <v>PM/0131/0108/45990160207</v>
      </c>
      <c r="AG837" s="114" t="s">
        <v>385</v>
      </c>
      <c r="AH837" s="182" t="s">
        <v>194</v>
      </c>
      <c r="AI837" s="184" t="str">
        <f>CONCATENATE(PAA[[#This Row],[Id Interno]],"-",PAA[[#This Row],[tipo de Contrato (TH talento humano - B/S bienes y/o servicios)]],"-",S837,"-",T837,"-",PAA[[#This Row],[Objeto de la contratación]])</f>
        <v>20260862-TH-8126-9--Adiciòn y pròrroga al contrato 388 de 2026 cuyo objeto es: "Prestar los servicios de apoyo para las gestiones documentales y administrativas requerida por la Oficina  Jurídica".</v>
      </c>
    </row>
    <row r="838" spans="2:35" ht="42" x14ac:dyDescent="0.35">
      <c r="B838" s="143">
        <v>20260864</v>
      </c>
      <c r="C838" s="97" t="s">
        <v>1140</v>
      </c>
      <c r="D838" s="23" t="s">
        <v>105</v>
      </c>
      <c r="E838" s="23" t="s">
        <v>363</v>
      </c>
      <c r="F838" s="23" t="s">
        <v>144</v>
      </c>
      <c r="G838" s="124" t="s">
        <v>383</v>
      </c>
      <c r="H838" s="131">
        <v>1</v>
      </c>
      <c r="I838" s="131">
        <v>21</v>
      </c>
      <c r="J838" s="122">
        <v>17000000</v>
      </c>
      <c r="K838" s="88" t="s">
        <v>398</v>
      </c>
      <c r="L838" s="163" t="s">
        <v>158</v>
      </c>
      <c r="M838" s="171" t="s">
        <v>421</v>
      </c>
      <c r="N838" s="23" t="s">
        <v>198</v>
      </c>
      <c r="O838" s="171" t="s">
        <v>887</v>
      </c>
      <c r="P838" s="171" t="s">
        <v>348</v>
      </c>
      <c r="Q838" s="123">
        <v>80111600</v>
      </c>
      <c r="R838" s="166" t="s">
        <v>211</v>
      </c>
      <c r="S838" s="166" t="str">
        <f>MID(PAA[[#This Row],[Meta Proyecto de Inversión]],1,4)</f>
        <v>8173</v>
      </c>
      <c r="T838" s="166" t="str">
        <f>MID(PAA[[#This Row],[Meta Proyecto de Inversión]],6,2)</f>
        <v>2-</v>
      </c>
      <c r="U838" s="167" t="str">
        <f>IFERROR(VLOOKUP(N838,TD!$B$54:$F$58,2,0)," ")</f>
        <v>O230117</v>
      </c>
      <c r="V838" s="167" t="str">
        <f>IFERROR(VLOOKUP(N838,TD!$B$54:$F$58,3,0)," ")</f>
        <v>4503</v>
      </c>
      <c r="W838" s="167">
        <f>IFERROR(VLOOKUP(N838,TD!$B$54:$F$58,4,0)," ")</f>
        <v>20240255</v>
      </c>
      <c r="X838" s="166" t="s">
        <v>164</v>
      </c>
      <c r="Y838" s="172" t="str">
        <f>IFERROR(VLOOKUP(X838,TD!$J$55:$K$68,2,0)," ")</f>
        <v>Servicio de atención a incidentes y emergencias.</v>
      </c>
      <c r="Z838" s="168" t="str">
        <f>CONCATENATE(X838,"-",Y838)</f>
        <v>04-Servicio de atención a incidentes y emergencias.</v>
      </c>
      <c r="AA838" s="166" t="s">
        <v>221</v>
      </c>
      <c r="AB838" s="172" t="str">
        <f>IFERROR(VLOOKUP(AA838,TD!$N$55:$O$70,2,0)," ")</f>
        <v>Servicio de atención a emergencias y desastres</v>
      </c>
      <c r="AC838" s="168" t="str">
        <f>CONCATENATE(AA838,"_",AB838)</f>
        <v>004_Servicio de atención a emergencias y desastres</v>
      </c>
      <c r="AD838" s="168" t="str">
        <f>CONCATENATE(Z838," ",AC838)</f>
        <v>04-Servicio de atención a incidentes y emergencias. 004_Servicio de atención a emergencias y desastres</v>
      </c>
      <c r="AE838" s="167" t="str">
        <f>CONCATENATE(U838,V838,W838,X838,AA838)</f>
        <v>O23011745032024025504004</v>
      </c>
      <c r="AF838" s="172" t="str">
        <f>IFERROR(VLOOKUP(AD838,TD!$J$70:$K$93,2,0)," ")</f>
        <v>PM/0131/0104/45030040255</v>
      </c>
      <c r="AG838" s="114" t="s">
        <v>385</v>
      </c>
      <c r="AH838" s="175" t="s">
        <v>193</v>
      </c>
      <c r="AI838" s="184" t="str">
        <f>CONCATENATE(PAA[[#This Row],[Id Interno]],"-",PAA[[#This Row],[tipo de Contrato (TH talento humano - B/S bienes y/o servicios)]],"-",S838,"-",T838,"-",PAA[[#This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39" spans="2:35" ht="70" x14ac:dyDescent="0.35">
      <c r="B839" s="143">
        <v>20260865</v>
      </c>
      <c r="C839" s="97" t="s">
        <v>1139</v>
      </c>
      <c r="D839" s="23" t="s">
        <v>105</v>
      </c>
      <c r="E839" s="23" t="s">
        <v>363</v>
      </c>
      <c r="F839" s="23" t="s">
        <v>144</v>
      </c>
      <c r="G839" s="124" t="s">
        <v>383</v>
      </c>
      <c r="H839" s="131">
        <v>1</v>
      </c>
      <c r="I839" s="131">
        <v>24</v>
      </c>
      <c r="J839" s="122">
        <v>15300000</v>
      </c>
      <c r="K839" s="88" t="s">
        <v>398</v>
      </c>
      <c r="L839" s="163" t="s">
        <v>158</v>
      </c>
      <c r="M839" s="171" t="s">
        <v>421</v>
      </c>
      <c r="N839" s="23" t="s">
        <v>198</v>
      </c>
      <c r="O839" s="171" t="s">
        <v>887</v>
      </c>
      <c r="P839" s="171" t="s">
        <v>348</v>
      </c>
      <c r="Q839" s="123">
        <v>80111600</v>
      </c>
      <c r="R839" s="166" t="s">
        <v>211</v>
      </c>
      <c r="S839" s="166" t="str">
        <f>MID(PAA[[#This Row],[Meta Proyecto de Inversión]],1,4)</f>
        <v>8173</v>
      </c>
      <c r="T839" s="166" t="str">
        <f>MID(PAA[[#This Row],[Meta Proyecto de Inversión]],6,2)</f>
        <v>2-</v>
      </c>
      <c r="U839" s="167" t="str">
        <f>IFERROR(VLOOKUP(N839,TD!$B$54:$F$58,2,0)," ")</f>
        <v>O230117</v>
      </c>
      <c r="V839" s="167" t="str">
        <f>IFERROR(VLOOKUP(N839,TD!$B$54:$F$58,3,0)," ")</f>
        <v>4503</v>
      </c>
      <c r="W839" s="167">
        <f>IFERROR(VLOOKUP(N839,TD!$B$54:$F$58,4,0)," ")</f>
        <v>20240255</v>
      </c>
      <c r="X839" s="166" t="s">
        <v>164</v>
      </c>
      <c r="Y839" s="172" t="str">
        <f>IFERROR(VLOOKUP(X839,TD!$J$55:$K$68,2,0)," ")</f>
        <v>Servicio de atención a incidentes y emergencias.</v>
      </c>
      <c r="Z839" s="168" t="str">
        <f>CONCATENATE(X839,"-",Y839)</f>
        <v>04-Servicio de atención a incidentes y emergencias.</v>
      </c>
      <c r="AA839" s="166" t="s">
        <v>221</v>
      </c>
      <c r="AB839" s="172" t="str">
        <f>IFERROR(VLOOKUP(AA839,TD!$N$55:$O$70,2,0)," ")</f>
        <v>Servicio de atención a emergencias y desastres</v>
      </c>
      <c r="AC839" s="168" t="str">
        <f>CONCATENATE(AA839,"_",AB839)</f>
        <v>004_Servicio de atención a emergencias y desastres</v>
      </c>
      <c r="AD839" s="168" t="str">
        <f>CONCATENATE(Z839," ",AC839)</f>
        <v>04-Servicio de atención a incidentes y emergencias. 004_Servicio de atención a emergencias y desastres</v>
      </c>
      <c r="AE839" s="167" t="str">
        <f>CONCATENATE(U839,V839,W839,X839,AA839)</f>
        <v>O23011745032024025504004</v>
      </c>
      <c r="AF839" s="172" t="str">
        <f>IFERROR(VLOOKUP(AD839,TD!$J$70:$K$93,2,0)," ")</f>
        <v>PM/0131/0104/45030040255</v>
      </c>
      <c r="AG839" s="114" t="s">
        <v>385</v>
      </c>
      <c r="AH839" s="175" t="s">
        <v>193</v>
      </c>
      <c r="AI839" s="184" t="str">
        <f>CONCATENATE(PAA[[#This Row],[Id Interno]],"-",PAA[[#This Row],[tipo de Contrato (TH talento humano - B/S bienes y/o servicios)]],"-",S839,"-",T839,"-",PAA[[#This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40" spans="2:35" ht="70" x14ac:dyDescent="0.35">
      <c r="B840" s="143">
        <v>20260866</v>
      </c>
      <c r="C840" s="97" t="s">
        <v>1141</v>
      </c>
      <c r="D840" s="23" t="s">
        <v>105</v>
      </c>
      <c r="E840" s="23" t="s">
        <v>363</v>
      </c>
      <c r="F840" s="23" t="s">
        <v>144</v>
      </c>
      <c r="G840" s="124" t="s">
        <v>383</v>
      </c>
      <c r="H840" s="131">
        <v>2</v>
      </c>
      <c r="I840" s="131">
        <v>0</v>
      </c>
      <c r="J840" s="122">
        <v>17000000</v>
      </c>
      <c r="K840" s="88" t="s">
        <v>398</v>
      </c>
      <c r="L840" s="163" t="s">
        <v>158</v>
      </c>
      <c r="M840" s="171" t="s">
        <v>421</v>
      </c>
      <c r="N840" s="23" t="s">
        <v>198</v>
      </c>
      <c r="O840" s="171" t="s">
        <v>887</v>
      </c>
      <c r="P840" s="171" t="s">
        <v>348</v>
      </c>
      <c r="Q840" s="123">
        <v>80111600</v>
      </c>
      <c r="R840" s="166" t="s">
        <v>211</v>
      </c>
      <c r="S840" s="166" t="str">
        <f>MID(PAA[[#This Row],[Meta Proyecto de Inversión]],1,4)</f>
        <v>8173</v>
      </c>
      <c r="T840" s="166" t="str">
        <f>MID(PAA[[#This Row],[Meta Proyecto de Inversión]],6,2)</f>
        <v>2-</v>
      </c>
      <c r="U840" s="167" t="str">
        <f>IFERROR(VLOOKUP(N840,TD!$B$54:$F$58,2,0)," ")</f>
        <v>O230117</v>
      </c>
      <c r="V840" s="167" t="str">
        <f>IFERROR(VLOOKUP(N840,TD!$B$54:$F$58,3,0)," ")</f>
        <v>4503</v>
      </c>
      <c r="W840" s="167">
        <f>IFERROR(VLOOKUP(N840,TD!$B$54:$F$58,4,0)," ")</f>
        <v>20240255</v>
      </c>
      <c r="X840" s="166" t="s">
        <v>164</v>
      </c>
      <c r="Y840" s="172" t="str">
        <f>IFERROR(VLOOKUP(X840,TD!$J$55:$K$68,2,0)," ")</f>
        <v>Servicio de atención a incidentes y emergencias.</v>
      </c>
      <c r="Z840" s="168" t="str">
        <f>CONCATENATE(X840,"-",Y840)</f>
        <v>04-Servicio de atención a incidentes y emergencias.</v>
      </c>
      <c r="AA840" s="166" t="s">
        <v>221</v>
      </c>
      <c r="AB840" s="172" t="str">
        <f>IFERROR(VLOOKUP(AA840,TD!$N$55:$O$70,2,0)," ")</f>
        <v>Servicio de atención a emergencias y desastres</v>
      </c>
      <c r="AC840" s="168" t="str">
        <f>CONCATENATE(AA840,"_",AB840)</f>
        <v>004_Servicio de atención a emergencias y desastres</v>
      </c>
      <c r="AD840" s="168" t="str">
        <f>CONCATENATE(Z840," ",AC840)</f>
        <v>04-Servicio de atención a incidentes y emergencias. 004_Servicio de atención a emergencias y desastres</v>
      </c>
      <c r="AE840" s="167" t="str">
        <f>CONCATENATE(U840,V840,W840,X840,AA840)</f>
        <v>O23011745032024025504004</v>
      </c>
      <c r="AF840" s="172" t="str">
        <f>IFERROR(VLOOKUP(AD840,TD!$J$70:$K$93,2,0)," ")</f>
        <v>PM/0131/0104/45030040255</v>
      </c>
      <c r="AG840" s="114" t="s">
        <v>385</v>
      </c>
      <c r="AH840" s="175" t="s">
        <v>193</v>
      </c>
      <c r="AI840" s="184" t="str">
        <f>CONCATENATE(PAA[[#This Row],[Id Interno]],"-",PAA[[#This Row],[tipo de Contrato (TH talento humano - B/S bienes y/o servicios)]],"-",S840,"-",T840,"-",PAA[[#This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41" spans="2:35" ht="70" x14ac:dyDescent="0.35">
      <c r="B841" s="143">
        <v>20260867</v>
      </c>
      <c r="C841" s="97" t="s">
        <v>1157</v>
      </c>
      <c r="D841" s="23" t="s">
        <v>105</v>
      </c>
      <c r="E841" s="23" t="s">
        <v>363</v>
      </c>
      <c r="F841" s="23" t="s">
        <v>144</v>
      </c>
      <c r="G841" s="124" t="s">
        <v>382</v>
      </c>
      <c r="H841" s="131">
        <v>2</v>
      </c>
      <c r="I841" s="131">
        <v>15</v>
      </c>
      <c r="J841" s="122">
        <v>14500000</v>
      </c>
      <c r="K841" s="88" t="s">
        <v>398</v>
      </c>
      <c r="L841" s="163" t="s">
        <v>157</v>
      </c>
      <c r="M841" s="166" t="s">
        <v>483</v>
      </c>
      <c r="N841" s="23" t="s">
        <v>198</v>
      </c>
      <c r="O841" s="166" t="s">
        <v>887</v>
      </c>
      <c r="P841" s="166" t="s">
        <v>348</v>
      </c>
      <c r="Q841" s="53">
        <v>80111600</v>
      </c>
      <c r="R841" s="166" t="s">
        <v>213</v>
      </c>
      <c r="S841" s="166" t="str">
        <f>MID(PAA[[#This Row],[Meta Proyecto de Inversión]],1,4)</f>
        <v>8173</v>
      </c>
      <c r="T841" s="166" t="str">
        <f>MID(PAA[[#This Row],[Meta Proyecto de Inversión]],6,2)</f>
        <v>4-</v>
      </c>
      <c r="U841" s="167" t="str">
        <f>IFERROR(VLOOKUP(N841,TD!$B$54:$F$58,2,0)," ")</f>
        <v>O230117</v>
      </c>
      <c r="V841" s="167" t="str">
        <f>IFERROR(VLOOKUP(N841,TD!$B$54:$F$58,3,0)," ")</f>
        <v>4503</v>
      </c>
      <c r="W841" s="167">
        <f>IFERROR(VLOOKUP(N841,TD!$B$54:$F$58,4,0)," ")</f>
        <v>20240255</v>
      </c>
      <c r="X841" s="166" t="s">
        <v>180</v>
      </c>
      <c r="Y841" s="172" t="str">
        <f>IFERROR(VLOOKUP(X841,TD!$J$55:$K$68,2,0)," ")</f>
        <v>Servicio de apoyo   logístico  en eventos operativos y/o emergencias.</v>
      </c>
      <c r="Z841" s="168" t="str">
        <f>CONCATENATE(X841,"-",Y841)</f>
        <v>12-Servicio de apoyo   logístico  en eventos operativos y/o emergencias.</v>
      </c>
      <c r="AA841" s="166" t="s">
        <v>221</v>
      </c>
      <c r="AB841" s="172" t="str">
        <f>IFERROR(VLOOKUP(AA841,TD!$N$55:$O$70,2,0)," ")</f>
        <v>Servicio de atención a emergencias y desastres</v>
      </c>
      <c r="AC841" s="168" t="str">
        <f>CONCATENATE(AA841,"_",AB841)</f>
        <v>004_Servicio de atención a emergencias y desastres</v>
      </c>
      <c r="AD841" s="168" t="str">
        <f>CONCATENATE(Z841," ",AC841)</f>
        <v>12-Servicio de apoyo   logístico  en eventos operativos y/o emergencias. 004_Servicio de atención a emergencias y desastres</v>
      </c>
      <c r="AE841" s="167" t="str">
        <f>CONCATENATE(U841,V841,W841,X841,AA841)</f>
        <v>O23011745032024025512004</v>
      </c>
      <c r="AF841" s="172" t="str">
        <f>IFERROR(VLOOKUP(AD841,TD!$J$70:$K$93,2,0)," ")</f>
        <v>PM/0131/0112/45030040255</v>
      </c>
      <c r="AG841" s="114" t="s">
        <v>385</v>
      </c>
      <c r="AH841" s="175" t="s">
        <v>193</v>
      </c>
      <c r="AI841" s="184" t="str">
        <f>CONCATENATE(PAA[[#This Row],[Id Interno]],"-",PAA[[#This Row],[tipo de Contrato (TH talento humano - B/S bienes y/o servicios)]],"-",S841,"-",T841,"-",PAA[[#This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42" spans="2:35" ht="56" x14ac:dyDescent="0.35">
      <c r="B842" s="143">
        <v>20260868</v>
      </c>
      <c r="C842" s="97" t="s">
        <v>1157</v>
      </c>
      <c r="D842" s="23" t="s">
        <v>105</v>
      </c>
      <c r="E842" s="23" t="s">
        <v>363</v>
      </c>
      <c r="F842" s="23" t="s">
        <v>144</v>
      </c>
      <c r="G842" s="124" t="s">
        <v>381</v>
      </c>
      <c r="H842" s="131">
        <v>3</v>
      </c>
      <c r="I842" s="131">
        <v>0</v>
      </c>
      <c r="J842" s="122">
        <v>20100000</v>
      </c>
      <c r="K842" s="88" t="s">
        <v>398</v>
      </c>
      <c r="L842" s="163" t="s">
        <v>157</v>
      </c>
      <c r="M842" s="166" t="s">
        <v>483</v>
      </c>
      <c r="N842" s="23" t="s">
        <v>198</v>
      </c>
      <c r="O842" s="166" t="s">
        <v>887</v>
      </c>
      <c r="P842" s="166" t="s">
        <v>348</v>
      </c>
      <c r="Q842" s="53">
        <v>80111600</v>
      </c>
      <c r="R842" s="166" t="s">
        <v>213</v>
      </c>
      <c r="S842" s="166" t="str">
        <f>MID(PAA[[#This Row],[Meta Proyecto de Inversión]],1,4)</f>
        <v>8173</v>
      </c>
      <c r="T842" s="166" t="str">
        <f>MID(PAA[[#This Row],[Meta Proyecto de Inversión]],6,2)</f>
        <v>4-</v>
      </c>
      <c r="U842" s="167" t="str">
        <f>IFERROR(VLOOKUP(N842,TD!$B$54:$F$58,2,0)," ")</f>
        <v>O230117</v>
      </c>
      <c r="V842" s="167" t="str">
        <f>IFERROR(VLOOKUP(N842,TD!$B$54:$F$58,3,0)," ")</f>
        <v>4503</v>
      </c>
      <c r="W842" s="167">
        <f>IFERROR(VLOOKUP(N842,TD!$B$54:$F$58,4,0)," ")</f>
        <v>20240255</v>
      </c>
      <c r="X842" s="166" t="s">
        <v>180</v>
      </c>
      <c r="Y842" s="172" t="str">
        <f>IFERROR(VLOOKUP(X842,TD!$J$55:$K$68,2,0)," ")</f>
        <v>Servicio de apoyo   logístico  en eventos operativos y/o emergencias.</v>
      </c>
      <c r="Z842" s="168" t="str">
        <f>CONCATENATE(X842,"-",Y842)</f>
        <v>12-Servicio de apoyo   logístico  en eventos operativos y/o emergencias.</v>
      </c>
      <c r="AA842" s="166" t="s">
        <v>221</v>
      </c>
      <c r="AB842" s="172" t="str">
        <f>IFERROR(VLOOKUP(AA842,TD!$N$55:$O$70,2,0)," ")</f>
        <v>Servicio de atención a emergencias y desastres</v>
      </c>
      <c r="AC842" s="168" t="str">
        <f>CONCATENATE(AA842,"_",AB842)</f>
        <v>004_Servicio de atención a emergencias y desastres</v>
      </c>
      <c r="AD842" s="168" t="str">
        <f>CONCATENATE(Z842," ",AC842)</f>
        <v>12-Servicio de apoyo   logístico  en eventos operativos y/o emergencias. 004_Servicio de atención a emergencias y desastres</v>
      </c>
      <c r="AE842" s="167" t="str">
        <f>CONCATENATE(U842,V842,W842,X842,AA842)</f>
        <v>O23011745032024025512004</v>
      </c>
      <c r="AF842" s="172" t="str">
        <f>IFERROR(VLOOKUP(AD842,TD!$J$70:$K$93,2,0)," ")</f>
        <v>PM/0131/0112/45030040255</v>
      </c>
      <c r="AG842" s="114" t="s">
        <v>385</v>
      </c>
      <c r="AH842" s="175" t="s">
        <v>193</v>
      </c>
      <c r="AI842" s="184" t="str">
        <f>CONCATENATE(PAA[[#This Row],[Id Interno]],"-",PAA[[#This Row],[tipo de Contrato (TH talento humano - B/S bienes y/o servicios)]],"-",S842,"-",T842,"-",PAA[[#This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43" spans="2:35" ht="56" x14ac:dyDescent="0.35">
      <c r="B843" s="143">
        <v>20260874</v>
      </c>
      <c r="C843" s="97" t="s">
        <v>1159</v>
      </c>
      <c r="D843" s="23" t="s">
        <v>105</v>
      </c>
      <c r="E843" s="23" t="s">
        <v>363</v>
      </c>
      <c r="F843" s="23" t="s">
        <v>144</v>
      </c>
      <c r="G843" s="124" t="s">
        <v>382</v>
      </c>
      <c r="H843" s="131">
        <v>2</v>
      </c>
      <c r="I843" s="131">
        <v>12</v>
      </c>
      <c r="J843" s="122">
        <v>19200000</v>
      </c>
      <c r="K843" s="88" t="s">
        <v>398</v>
      </c>
      <c r="L843" s="163" t="s">
        <v>155</v>
      </c>
      <c r="M843" s="166" t="s">
        <v>422</v>
      </c>
      <c r="N843" s="23" t="s">
        <v>198</v>
      </c>
      <c r="O843" s="166" t="s">
        <v>887</v>
      </c>
      <c r="P843" s="166" t="s">
        <v>348</v>
      </c>
      <c r="Q843" s="53">
        <v>80111600</v>
      </c>
      <c r="R843" s="166" t="s">
        <v>216</v>
      </c>
      <c r="S843" s="166" t="str">
        <f>MID(PAA[[#This Row],[Meta Proyecto de Inversión]],1,4)</f>
        <v>8173</v>
      </c>
      <c r="T843" s="166" t="str">
        <f>MID(PAA[[#This Row],[Meta Proyecto de Inversión]],6,2)</f>
        <v>7-</v>
      </c>
      <c r="U843" s="167" t="str">
        <f>IFERROR(VLOOKUP(N843,TD!$B$54:$F$58,2,0)," ")</f>
        <v>O230117</v>
      </c>
      <c r="V843" s="167" t="str">
        <f>IFERROR(VLOOKUP(N843,TD!$B$54:$F$58,3,0)," ")</f>
        <v>4503</v>
      </c>
      <c r="W843" s="167">
        <f>IFERROR(VLOOKUP(N843,TD!$B$54:$F$58,4,0)," ")</f>
        <v>20240255</v>
      </c>
      <c r="X843" s="166">
        <v>14</v>
      </c>
      <c r="Y843" s="172" t="str">
        <f>IFERROR(VLOOKUP(X843,TD!$J$55:$K$68,2,0)," ")</f>
        <v xml:space="preserve">Infraestructura física misional construida mantenida y dotada </v>
      </c>
      <c r="Z843" s="168" t="str">
        <f>CONCATENATE(X843,"-",Y843)</f>
        <v xml:space="preserve">14-Infraestructura física misional construida mantenida y dotada </v>
      </c>
      <c r="AA843" s="166" t="s">
        <v>225</v>
      </c>
      <c r="AB843" s="172" t="str">
        <f>IFERROR(VLOOKUP(AA843,TD!$N$55:$O$70,2,0)," ")</f>
        <v>Estaciones de bomberos adecuadas</v>
      </c>
      <c r="AC843" s="168" t="str">
        <f>CONCATENATE(AA843,"_",AB843)</f>
        <v>014_Estaciones de bomberos adecuadas</v>
      </c>
      <c r="AD843" s="168" t="str">
        <f>CONCATENATE(Z843," ",AC843)</f>
        <v>14-Infraestructura física misional construida mantenida y dotada  014_Estaciones de bomberos adecuadas</v>
      </c>
      <c r="AE843" s="167" t="str">
        <f>CONCATENATE(U843,V843,W843,X843,AA843)</f>
        <v>O23011745032024025514014</v>
      </c>
      <c r="AF843" s="172" t="str">
        <f>IFERROR(VLOOKUP(AD843,TD!$J$70:$K$93,2,0)," ")</f>
        <v>PM/0131/0114/45030140255</v>
      </c>
      <c r="AG843" s="114" t="s">
        <v>385</v>
      </c>
      <c r="AH843" s="175" t="s">
        <v>193</v>
      </c>
      <c r="AI843" s="184" t="str">
        <f>CONCATENATE(PAA[[#This Row],[Id Interno]],"-",PAA[[#This Row],[tipo de Contrato (TH talento humano - B/S bienes y/o servicios)]],"-",S843,"-",T843,"-",PAA[[#This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44" spans="2:35" ht="56" x14ac:dyDescent="0.35">
      <c r="B844" s="143">
        <v>20260875</v>
      </c>
      <c r="C844" s="97" t="s">
        <v>1160</v>
      </c>
      <c r="D844" s="23" t="s">
        <v>105</v>
      </c>
      <c r="E844" s="23" t="s">
        <v>363</v>
      </c>
      <c r="F844" s="23" t="s">
        <v>144</v>
      </c>
      <c r="G844" s="124" t="s">
        <v>382</v>
      </c>
      <c r="H844" s="131">
        <v>2</v>
      </c>
      <c r="I844" s="131">
        <v>15</v>
      </c>
      <c r="J844" s="122">
        <v>16250000</v>
      </c>
      <c r="K844" s="88" t="s">
        <v>398</v>
      </c>
      <c r="L844" s="163" t="s">
        <v>155</v>
      </c>
      <c r="M844" s="166" t="s">
        <v>422</v>
      </c>
      <c r="N844" s="23" t="s">
        <v>198</v>
      </c>
      <c r="O844" s="166" t="s">
        <v>887</v>
      </c>
      <c r="P844" s="166" t="s">
        <v>348</v>
      </c>
      <c r="Q844" s="53">
        <v>80111600</v>
      </c>
      <c r="R844" s="166" t="s">
        <v>216</v>
      </c>
      <c r="S844" s="166" t="str">
        <f>MID(PAA[[#This Row],[Meta Proyecto de Inversión]],1,4)</f>
        <v>8173</v>
      </c>
      <c r="T844" s="166" t="str">
        <f>MID(PAA[[#This Row],[Meta Proyecto de Inversión]],6,2)</f>
        <v>7-</v>
      </c>
      <c r="U844" s="167" t="str">
        <f>IFERROR(VLOOKUP(N844,TD!$B$54:$F$58,2,0)," ")</f>
        <v>O230117</v>
      </c>
      <c r="V844" s="167" t="str">
        <f>IFERROR(VLOOKUP(N844,TD!$B$54:$F$58,3,0)," ")</f>
        <v>4503</v>
      </c>
      <c r="W844" s="167">
        <f>IFERROR(VLOOKUP(N844,TD!$B$54:$F$58,4,0)," ")</f>
        <v>20240255</v>
      </c>
      <c r="X844" s="166">
        <v>14</v>
      </c>
      <c r="Y844" s="172" t="str">
        <f>IFERROR(VLOOKUP(X844,TD!$J$55:$K$68,2,0)," ")</f>
        <v xml:space="preserve">Infraestructura física misional construida mantenida y dotada </v>
      </c>
      <c r="Z844" s="168" t="str">
        <f>CONCATENATE(X844,"-",Y844)</f>
        <v xml:space="preserve">14-Infraestructura física misional construida mantenida y dotada </v>
      </c>
      <c r="AA844" s="166" t="s">
        <v>225</v>
      </c>
      <c r="AB844" s="172" t="str">
        <f>IFERROR(VLOOKUP(AA844,TD!$N$55:$O$70,2,0)," ")</f>
        <v>Estaciones de bomberos adecuadas</v>
      </c>
      <c r="AC844" s="168" t="str">
        <f>CONCATENATE(AA844,"_",AB844)</f>
        <v>014_Estaciones de bomberos adecuadas</v>
      </c>
      <c r="AD844" s="168" t="str">
        <f>CONCATENATE(Z844," ",AC844)</f>
        <v>14-Infraestructura física misional construida mantenida y dotada  014_Estaciones de bomberos adecuadas</v>
      </c>
      <c r="AE844" s="167" t="str">
        <f>CONCATENATE(U844,V844,W844,X844,AA844)</f>
        <v>O23011745032024025514014</v>
      </c>
      <c r="AF844" s="172" t="str">
        <f>IFERROR(VLOOKUP(AD844,TD!$J$70:$K$93,2,0)," ")</f>
        <v>PM/0131/0114/45030140255</v>
      </c>
      <c r="AG844" s="114" t="s">
        <v>385</v>
      </c>
      <c r="AH844" s="175" t="s">
        <v>193</v>
      </c>
      <c r="AI844" s="184" t="str">
        <f>CONCATENATE(PAA[[#This Row],[Id Interno]],"-",PAA[[#This Row],[tipo de Contrato (TH talento humano - B/S bienes y/o servicios)]],"-",S844,"-",T844,"-",PAA[[#This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45" spans="2:35" ht="56" x14ac:dyDescent="0.35">
      <c r="B845" s="143">
        <v>20260876</v>
      </c>
      <c r="C845" s="97" t="s">
        <v>1161</v>
      </c>
      <c r="D845" s="23" t="s">
        <v>105</v>
      </c>
      <c r="E845" s="23" t="s">
        <v>363</v>
      </c>
      <c r="F845" s="23" t="s">
        <v>144</v>
      </c>
      <c r="G845" s="124" t="s">
        <v>382</v>
      </c>
      <c r="H845" s="131">
        <v>3</v>
      </c>
      <c r="I845" s="131">
        <v>3</v>
      </c>
      <c r="J845" s="122">
        <v>24800000</v>
      </c>
      <c r="K845" s="88" t="s">
        <v>398</v>
      </c>
      <c r="L845" s="163" t="s">
        <v>155</v>
      </c>
      <c r="M845" s="166" t="s">
        <v>422</v>
      </c>
      <c r="N845" s="23" t="s">
        <v>198</v>
      </c>
      <c r="O845" s="166" t="s">
        <v>887</v>
      </c>
      <c r="P845" s="166" t="s">
        <v>348</v>
      </c>
      <c r="Q845" s="53">
        <v>80111600</v>
      </c>
      <c r="R845" s="166" t="s">
        <v>351</v>
      </c>
      <c r="S845" s="166" t="str">
        <f>MID(PAA[[#This Row],[Meta Proyecto de Inversión]],1,4)</f>
        <v>8173</v>
      </c>
      <c r="T845" s="166" t="str">
        <f>MID(PAA[[#This Row],[Meta Proyecto de Inversión]],6,2)</f>
        <v>11</v>
      </c>
      <c r="U845" s="167" t="str">
        <f>IFERROR(VLOOKUP(N845,TD!$B$54:$F$58,2,0)," ")</f>
        <v>O230117</v>
      </c>
      <c r="V845" s="167" t="str">
        <f>IFERROR(VLOOKUP(N845,TD!$B$54:$F$58,3,0)," ")</f>
        <v>4503</v>
      </c>
      <c r="W845" s="167">
        <f>IFERROR(VLOOKUP(N845,TD!$B$54:$F$58,4,0)," ")</f>
        <v>20240255</v>
      </c>
      <c r="X845" s="166">
        <v>14</v>
      </c>
      <c r="Y845" s="172" t="str">
        <f>IFERROR(VLOOKUP(X845,TD!$J$55:$K$68,2,0)," ")</f>
        <v xml:space="preserve">Infraestructura física misional construida mantenida y dotada </v>
      </c>
      <c r="Z845" s="168" t="str">
        <f>CONCATENATE(X845,"-",Y845)</f>
        <v xml:space="preserve">14-Infraestructura física misional construida mantenida y dotada </v>
      </c>
      <c r="AA845" s="166" t="s">
        <v>225</v>
      </c>
      <c r="AB845" s="172" t="str">
        <f>IFERROR(VLOOKUP(AA845,TD!$N$55:$O$70,2,0)," ")</f>
        <v>Estaciones de bomberos adecuadas</v>
      </c>
      <c r="AC845" s="168" t="str">
        <f>CONCATENATE(AA845,"_",AB845)</f>
        <v>014_Estaciones de bomberos adecuadas</v>
      </c>
      <c r="AD845" s="168" t="str">
        <f>CONCATENATE(Z845," ",AC845)</f>
        <v>14-Infraestructura física misional construida mantenida y dotada  014_Estaciones de bomberos adecuadas</v>
      </c>
      <c r="AE845" s="167" t="str">
        <f>CONCATENATE(U845,V845,W845,X845,AA845)</f>
        <v>O23011745032024025514014</v>
      </c>
      <c r="AF845" s="172" t="str">
        <f>IFERROR(VLOOKUP(AD845,TD!$J$70:$K$93,2,0)," ")</f>
        <v>PM/0131/0114/45030140255</v>
      </c>
      <c r="AG845" s="114" t="s">
        <v>385</v>
      </c>
      <c r="AH845" s="175" t="s">
        <v>193</v>
      </c>
      <c r="AI845" s="184" t="str">
        <f>CONCATENATE(PAA[[#This Row],[Id Interno]],"-",PAA[[#This Row],[tipo de Contrato (TH talento humano - B/S bienes y/o servicios)]],"-",S845,"-",T845,"-",PAA[[#This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46" spans="2:35" ht="84" x14ac:dyDescent="0.35">
      <c r="B846" s="143">
        <v>20260877</v>
      </c>
      <c r="C846" s="97" t="s">
        <v>1162</v>
      </c>
      <c r="D846" s="23" t="s">
        <v>105</v>
      </c>
      <c r="E846" s="23" t="s">
        <v>363</v>
      </c>
      <c r="F846" s="23" t="s">
        <v>144</v>
      </c>
      <c r="G846" s="124" t="s">
        <v>379</v>
      </c>
      <c r="H846" s="131">
        <v>6</v>
      </c>
      <c r="I846" s="131">
        <v>0</v>
      </c>
      <c r="J846" s="122">
        <v>20400000</v>
      </c>
      <c r="K846" s="88" t="s">
        <v>398</v>
      </c>
      <c r="L846" s="163" t="s">
        <v>155</v>
      </c>
      <c r="M846" s="166" t="s">
        <v>422</v>
      </c>
      <c r="N846" s="23" t="s">
        <v>198</v>
      </c>
      <c r="O846" s="166" t="s">
        <v>887</v>
      </c>
      <c r="P846" s="166" t="s">
        <v>348</v>
      </c>
      <c r="Q846" s="53">
        <v>80111600</v>
      </c>
      <c r="R846" s="166" t="s">
        <v>351</v>
      </c>
      <c r="S846" s="166" t="str">
        <f>MID(PAA[[#This Row],[Meta Proyecto de Inversión]],1,4)</f>
        <v>8173</v>
      </c>
      <c r="T846" s="166" t="str">
        <f>MID(PAA[[#This Row],[Meta Proyecto de Inversión]],6,2)</f>
        <v>11</v>
      </c>
      <c r="U846" s="167" t="str">
        <f>IFERROR(VLOOKUP(N846,TD!$B$54:$F$58,2,0)," ")</f>
        <v>O230117</v>
      </c>
      <c r="V846" s="167" t="str">
        <f>IFERROR(VLOOKUP(N846,TD!$B$54:$F$58,3,0)," ")</f>
        <v>4503</v>
      </c>
      <c r="W846" s="167">
        <f>IFERROR(VLOOKUP(N846,TD!$B$54:$F$58,4,0)," ")</f>
        <v>20240255</v>
      </c>
      <c r="X846" s="166">
        <v>14</v>
      </c>
      <c r="Y846" s="172" t="str">
        <f>IFERROR(VLOOKUP(X846,TD!$J$55:$K$68,2,0)," ")</f>
        <v xml:space="preserve">Infraestructura física misional construida mantenida y dotada </v>
      </c>
      <c r="Z846" s="168" t="str">
        <f>CONCATENATE(X846,"-",Y846)</f>
        <v xml:space="preserve">14-Infraestructura física misional construida mantenida y dotada </v>
      </c>
      <c r="AA846" s="166" t="s">
        <v>225</v>
      </c>
      <c r="AB846" s="172" t="str">
        <f>IFERROR(VLOOKUP(AA846,TD!$N$55:$O$70,2,0)," ")</f>
        <v>Estaciones de bomberos adecuadas</v>
      </c>
      <c r="AC846" s="168" t="str">
        <f>CONCATENATE(AA846,"_",AB846)</f>
        <v>014_Estaciones de bomberos adecuadas</v>
      </c>
      <c r="AD846" s="168" t="str">
        <f>CONCATENATE(Z846," ",AC846)</f>
        <v>14-Infraestructura física misional construida mantenida y dotada  014_Estaciones de bomberos adecuadas</v>
      </c>
      <c r="AE846" s="167" t="str">
        <f>CONCATENATE(U846,V846,W846,X846,AA846)</f>
        <v>O23011745032024025514014</v>
      </c>
      <c r="AF846" s="172" t="str">
        <f>IFERROR(VLOOKUP(AD846,TD!$J$70:$K$93,2,0)," ")</f>
        <v>PM/0131/0114/45030140255</v>
      </c>
      <c r="AG846" s="114" t="s">
        <v>385</v>
      </c>
      <c r="AH846" s="175" t="s">
        <v>193</v>
      </c>
      <c r="AI846" s="184" t="str">
        <f>CONCATENATE(PAA[[#This Row],[Id Interno]],"-",PAA[[#This Row],[tipo de Contrato (TH talento humano - B/S bienes y/o servicios)]],"-",S846,"-",T846,"-",PAA[[#This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47" spans="2:35" ht="70" x14ac:dyDescent="0.35">
      <c r="B847" s="143">
        <v>20260878</v>
      </c>
      <c r="C847" s="97" t="s">
        <v>1163</v>
      </c>
      <c r="D847" s="23" t="s">
        <v>105</v>
      </c>
      <c r="E847" s="23" t="s">
        <v>363</v>
      </c>
      <c r="F847" s="23" t="s">
        <v>145</v>
      </c>
      <c r="G847" s="124" t="s">
        <v>383</v>
      </c>
      <c r="H847" s="131">
        <v>1</v>
      </c>
      <c r="I847" s="131">
        <v>0</v>
      </c>
      <c r="J847" s="122">
        <v>4000000</v>
      </c>
      <c r="K847" s="88" t="s">
        <v>398</v>
      </c>
      <c r="L847" s="163" t="s">
        <v>156</v>
      </c>
      <c r="M847" s="166" t="s">
        <v>484</v>
      </c>
      <c r="N847" s="23" t="s">
        <v>198</v>
      </c>
      <c r="O847" s="166" t="s">
        <v>887</v>
      </c>
      <c r="P847" s="166" t="s">
        <v>348</v>
      </c>
      <c r="Q847" s="53">
        <v>80111600</v>
      </c>
      <c r="R847" s="166" t="s">
        <v>210</v>
      </c>
      <c r="S847" s="166" t="str">
        <f>MID(PAA[[#This Row],[Meta Proyecto de Inversión]],1,4)</f>
        <v>8173</v>
      </c>
      <c r="T847" s="166" t="str">
        <f>MID(PAA[[#This Row],[Meta Proyecto de Inversión]],6,2)</f>
        <v>1-</v>
      </c>
      <c r="U847" s="167" t="str">
        <f>IFERROR(VLOOKUP(N847,TD!$B$54:$F$58,2,0)," ")</f>
        <v>O230117</v>
      </c>
      <c r="V847" s="167" t="str">
        <f>IFERROR(VLOOKUP(N847,TD!$B$54:$F$58,3,0)," ")</f>
        <v>4503</v>
      </c>
      <c r="W847" s="167">
        <f>IFERROR(VLOOKUP(N847,TD!$B$54:$F$58,4,0)," ")</f>
        <v>20240255</v>
      </c>
      <c r="X847" s="166" t="s">
        <v>170</v>
      </c>
      <c r="Y847" s="172" t="str">
        <f>IFERROR(VLOOKUP(X847,TD!$J$55:$K$68,2,0)," ")</f>
        <v>Servicio de inspecciones técnicas realizadas</v>
      </c>
      <c r="Z847" s="168" t="str">
        <f>CONCATENATE(X847,"-",Y847)</f>
        <v>06-Servicio de inspecciones técnicas realizadas</v>
      </c>
      <c r="AA847" s="166" t="s">
        <v>223</v>
      </c>
      <c r="AB847" s="172" t="str">
        <f>IFERROR(VLOOKUP(AA847,TD!$N$55:$O$70,2,0)," ")</f>
        <v>Servicio prevención y control de incendios</v>
      </c>
      <c r="AC847" s="168" t="str">
        <f>CONCATENATE(AA847,"_",AB847)</f>
        <v>035_Servicio prevención y control de incendios</v>
      </c>
      <c r="AD847" s="168" t="str">
        <f>CONCATENATE(Z847," ",AC847)</f>
        <v>06-Servicio de inspecciones técnicas realizadas 035_Servicio prevención y control de incendios</v>
      </c>
      <c r="AE847" s="167" t="str">
        <f>CONCATENATE(U847,V847,W847,X847,AA847)</f>
        <v>O23011745032024025506035</v>
      </c>
      <c r="AF847" s="172" t="str">
        <f>IFERROR(VLOOKUP(AD847,TD!$J$70:$K$93,2,0)," ")</f>
        <v>PM/0131/0106/45030350255</v>
      </c>
      <c r="AG847" s="114" t="s">
        <v>385</v>
      </c>
      <c r="AH847" s="175" t="s">
        <v>194</v>
      </c>
      <c r="AI847" s="184" t="str">
        <f>CONCATENATE(PAA[[#This Row],[Id Interno]],"-",PAA[[#This Row],[tipo de Contrato (TH talento humano - B/S bienes y/o servicios)]],"-",S847,"-",T847,"-",PAA[[#This Row],[Objeto de la contratación]])</f>
        <v>20260878-TH-8173-1--Adicion y prorroga cto 304-2026 Prestar  servicios de apoyo tecnico para realizar las inspecciones relacionadas con la emision de conceptos a cargo de la Subdirección de Gestión del Riesgo._SGR</v>
      </c>
    </row>
    <row r="848" spans="2:35" ht="56" x14ac:dyDescent="0.35">
      <c r="B848" s="143">
        <v>20260879</v>
      </c>
      <c r="C848" s="97" t="s">
        <v>1164</v>
      </c>
      <c r="D848" s="23" t="s">
        <v>105</v>
      </c>
      <c r="E848" s="23" t="s">
        <v>363</v>
      </c>
      <c r="F848" s="23" t="s">
        <v>144</v>
      </c>
      <c r="G848" s="124" t="s">
        <v>381</v>
      </c>
      <c r="H848" s="131">
        <v>3</v>
      </c>
      <c r="I848" s="131">
        <v>0</v>
      </c>
      <c r="J848" s="122">
        <v>27000000</v>
      </c>
      <c r="K848" s="88" t="s">
        <v>398</v>
      </c>
      <c r="L848" s="163" t="s">
        <v>156</v>
      </c>
      <c r="M848" s="166" t="s">
        <v>484</v>
      </c>
      <c r="N848" s="23" t="s">
        <v>198</v>
      </c>
      <c r="O848" s="166" t="s">
        <v>887</v>
      </c>
      <c r="P848" s="166" t="s">
        <v>348</v>
      </c>
      <c r="Q848" s="53">
        <v>80111600</v>
      </c>
      <c r="R848" s="166" t="s">
        <v>210</v>
      </c>
      <c r="S848" s="166" t="str">
        <f>MID(PAA[[#This Row],[Meta Proyecto de Inversión]],1,4)</f>
        <v>8173</v>
      </c>
      <c r="T848" s="166" t="str">
        <f>MID(PAA[[#This Row],[Meta Proyecto de Inversión]],6,2)</f>
        <v>1-</v>
      </c>
      <c r="U848" s="167" t="str">
        <f>IFERROR(VLOOKUP(N848,TD!$B$54:$F$58,2,0)," ")</f>
        <v>O230117</v>
      </c>
      <c r="V848" s="167" t="str">
        <f>IFERROR(VLOOKUP(N848,TD!$B$54:$F$58,3,0)," ")</f>
        <v>4503</v>
      </c>
      <c r="W848" s="167">
        <f>IFERROR(VLOOKUP(N848,TD!$B$54:$F$58,4,0)," ")</f>
        <v>20240255</v>
      </c>
      <c r="X848" s="166" t="s">
        <v>166</v>
      </c>
      <c r="Y848" s="172" t="str">
        <f>IFERROR(VLOOKUP(X848,TD!$J$55:$K$68,2,0)," ")</f>
        <v>Servicio de capacitaciones en gestión del riesgo de incendios  a la ciudadania.</v>
      </c>
      <c r="Z848" s="168" t="str">
        <f>CONCATENATE(X848,"-",Y848)</f>
        <v>05-Servicio de capacitaciones en gestión del riesgo de incendios  a la ciudadania.</v>
      </c>
      <c r="AA848" s="166" t="s">
        <v>223</v>
      </c>
      <c r="AB848" s="172" t="str">
        <f>IFERROR(VLOOKUP(AA848,TD!$N$55:$O$70,2,0)," ")</f>
        <v>Servicio prevención y control de incendios</v>
      </c>
      <c r="AC848" s="168" t="str">
        <f>CONCATENATE(AA848,"_",AB848)</f>
        <v>035_Servicio prevención y control de incendios</v>
      </c>
      <c r="AD848" s="168" t="str">
        <f>CONCATENATE(Z848," ",AC848)</f>
        <v>05-Servicio de capacitaciones en gestión del riesgo de incendios  a la ciudadania. 035_Servicio prevención y control de incendios</v>
      </c>
      <c r="AE848" s="167" t="str">
        <f>CONCATENATE(U848,V848,W848,X848,AA848)</f>
        <v>O23011745032024025505035</v>
      </c>
      <c r="AF848" s="172" t="str">
        <f>IFERROR(VLOOKUP(AD848,TD!$J$70:$K$93,2,0)," ")</f>
        <v>PM/0131/0105/45030350255</v>
      </c>
      <c r="AG848" s="114" t="s">
        <v>385</v>
      </c>
      <c r="AH848" s="175" t="s">
        <v>194</v>
      </c>
      <c r="AI848" s="184" t="str">
        <f>CONCATENATE(PAA[[#This Row],[Id Interno]],"-",PAA[[#This Row],[tipo de Contrato (TH talento humano - B/S bienes y/o servicios)]],"-",S848,"-",T848,"-",PAA[[#This Row],[Objeto de la contratación]])</f>
        <v>20260879-TH-8173-1--Adicion y prorroga cto 269-2026 Prestar servicios profesionales  liderando los procesos de formacion y capacitacion de la subdirección de gestión del riesgo._SGR</v>
      </c>
    </row>
    <row r="849" spans="2:35" s="56" customFormat="1" ht="56" x14ac:dyDescent="0.35">
      <c r="B849" s="143">
        <v>20260880</v>
      </c>
      <c r="C849" s="97" t="s">
        <v>1302</v>
      </c>
      <c r="D849" s="23" t="s">
        <v>105</v>
      </c>
      <c r="E849" s="23" t="s">
        <v>363</v>
      </c>
      <c r="F849" s="23" t="s">
        <v>145</v>
      </c>
      <c r="G849" s="124" t="s">
        <v>381</v>
      </c>
      <c r="H849" s="131">
        <v>2</v>
      </c>
      <c r="I849" s="131">
        <v>15</v>
      </c>
      <c r="J849" s="122">
        <v>15000000</v>
      </c>
      <c r="K849" s="88" t="s">
        <v>398</v>
      </c>
      <c r="L849" s="163" t="s">
        <v>156</v>
      </c>
      <c r="M849" s="166" t="s">
        <v>484</v>
      </c>
      <c r="N849" s="23" t="s">
        <v>198</v>
      </c>
      <c r="O849" s="166" t="s">
        <v>887</v>
      </c>
      <c r="P849" s="166" t="s">
        <v>348</v>
      </c>
      <c r="Q849" s="53">
        <v>80111600</v>
      </c>
      <c r="R849" s="166" t="s">
        <v>210</v>
      </c>
      <c r="S849" s="166" t="str">
        <f>MID(PAA[[#This Row],[Meta Proyecto de Inversión]],1,4)</f>
        <v>8173</v>
      </c>
      <c r="T849" s="166" t="str">
        <f>MID(PAA[[#This Row],[Meta Proyecto de Inversión]],6,2)</f>
        <v>1-</v>
      </c>
      <c r="U849" s="167" t="str">
        <f>IFERROR(VLOOKUP(N849,TD!$B$54:$F$58,2,0)," ")</f>
        <v>O230117</v>
      </c>
      <c r="V849" s="167" t="str">
        <f>IFERROR(VLOOKUP(N849,TD!$B$54:$F$58,3,0)," ")</f>
        <v>4503</v>
      </c>
      <c r="W849" s="167">
        <f>IFERROR(VLOOKUP(N849,TD!$B$54:$F$58,4,0)," ")</f>
        <v>20240255</v>
      </c>
      <c r="X849" s="166" t="s">
        <v>166</v>
      </c>
      <c r="Y849" s="172" t="str">
        <f>IFERROR(VLOOKUP(X849,TD!$J$55:$K$68,2,0)," ")</f>
        <v>Servicio de capacitaciones en gestión del riesgo de incendios  a la ciudadania.</v>
      </c>
      <c r="Z849" s="168" t="str">
        <f>CONCATENATE(X849,"-",Y849)</f>
        <v>05-Servicio de capacitaciones en gestión del riesgo de incendios  a la ciudadania.</v>
      </c>
      <c r="AA849" s="166" t="s">
        <v>223</v>
      </c>
      <c r="AB849" s="172" t="str">
        <f>IFERROR(VLOOKUP(AA849,TD!$N$55:$O$70,2,0)," ")</f>
        <v>Servicio prevención y control de incendios</v>
      </c>
      <c r="AC849" s="168" t="str">
        <f>CONCATENATE(AA849,"_",AB849)</f>
        <v>035_Servicio prevención y control de incendios</v>
      </c>
      <c r="AD849" s="168" t="str">
        <f>CONCATENATE(Z849," ",AC849)</f>
        <v>05-Servicio de capacitaciones en gestión del riesgo de incendios  a la ciudadania. 035_Servicio prevención y control de incendios</v>
      </c>
      <c r="AE849" s="167" t="str">
        <f>CONCATENATE(U849,V849,W849,X849,AA849)</f>
        <v>O23011745032024025505035</v>
      </c>
      <c r="AF849" s="172" t="str">
        <f>IFERROR(VLOOKUP(AD849,TD!$J$70:$K$93,2,0)," ")</f>
        <v>PM/0131/0105/45030350255</v>
      </c>
      <c r="AG849" s="114" t="s">
        <v>385</v>
      </c>
      <c r="AH849" s="175" t="s">
        <v>194</v>
      </c>
      <c r="AI849" s="184" t="str">
        <f>CONCATENATE(PAA[[#This Row],[Id Interno]],"-",PAA[[#This Row],[tipo de Contrato (TH talento humano - B/S bienes y/o servicios)]],"-",S849,"-",T849,"-",PAA[[#This Row],[Objeto de la contratación]])</f>
        <v>20260880-TH-8173-1--Adicion y prorroga cto  265-2026 Prestar servicios profesionales en las actividades de Programas y Campañas de Prevención para la Subdirección de Gestión del Riesgo._SGR</v>
      </c>
    </row>
    <row r="850" spans="2:35" ht="56" x14ac:dyDescent="0.35">
      <c r="B850" s="143">
        <v>20260881</v>
      </c>
      <c r="C850" s="97" t="s">
        <v>1165</v>
      </c>
      <c r="D850" s="23" t="s">
        <v>105</v>
      </c>
      <c r="E850" s="23" t="s">
        <v>363</v>
      </c>
      <c r="F850" s="23" t="s">
        <v>144</v>
      </c>
      <c r="G850" s="124" t="s">
        <v>381</v>
      </c>
      <c r="H850" s="131">
        <v>2</v>
      </c>
      <c r="I850" s="131">
        <v>0</v>
      </c>
      <c r="J850" s="122">
        <v>14000000</v>
      </c>
      <c r="K850" s="88" t="s">
        <v>398</v>
      </c>
      <c r="L850" s="163" t="s">
        <v>156</v>
      </c>
      <c r="M850" s="166" t="s">
        <v>484</v>
      </c>
      <c r="N850" s="23" t="s">
        <v>198</v>
      </c>
      <c r="O850" s="166" t="s">
        <v>887</v>
      </c>
      <c r="P850" s="166" t="s">
        <v>348</v>
      </c>
      <c r="Q850" s="53">
        <v>80111600</v>
      </c>
      <c r="R850" s="166" t="s">
        <v>214</v>
      </c>
      <c r="S850" s="166" t="str">
        <f>MID(PAA[[#This Row],[Meta Proyecto de Inversión]],1,4)</f>
        <v>8173</v>
      </c>
      <c r="T850" s="166" t="str">
        <f>MID(PAA[[#This Row],[Meta Proyecto de Inversión]],6,2)</f>
        <v>5-</v>
      </c>
      <c r="U850" s="167" t="str">
        <f>IFERROR(VLOOKUP(N850,TD!$B$54:$F$58,2,0)," ")</f>
        <v>O230117</v>
      </c>
      <c r="V850" s="167" t="str">
        <f>IFERROR(VLOOKUP(N850,TD!$B$54:$F$58,3,0)," ")</f>
        <v>4503</v>
      </c>
      <c r="W850" s="167">
        <f>IFERROR(VLOOKUP(N850,TD!$B$54:$F$58,4,0)," ")</f>
        <v>20240255</v>
      </c>
      <c r="X850" s="166">
        <v>16</v>
      </c>
      <c r="Y850" s="172" t="str">
        <f>IFERROR(VLOOKUP(X850,TD!$J$55:$K$68,2,0)," ")</f>
        <v>Servicio de monitoreo y seguimiento para la gestión del riesgo</v>
      </c>
      <c r="Z850" s="168" t="str">
        <f>CONCATENATE(X850,"-",Y850)</f>
        <v>16-Servicio de monitoreo y seguimiento para la gestión del riesgo</v>
      </c>
      <c r="AA850" s="166" t="s">
        <v>224</v>
      </c>
      <c r="AB850" s="172" t="str">
        <f>IFERROR(VLOOKUP(AA850,TD!$N$55:$O$70,2,0)," ")</f>
        <v>Servicio de monitoreo y seguimiento para la gestión del riesgo</v>
      </c>
      <c r="AC850" s="168" t="str">
        <f>CONCATENATE(AA850,"_",AB850)</f>
        <v>018_Servicio de monitoreo y seguimiento para la gestión del riesgo</v>
      </c>
      <c r="AD850" s="168" t="str">
        <f>CONCATENATE(Z850," ",AC850)</f>
        <v>16-Servicio de monitoreo y seguimiento para la gestión del riesgo 018_Servicio de monitoreo y seguimiento para la gestión del riesgo</v>
      </c>
      <c r="AE850" s="167" t="str">
        <f>CONCATENATE(U850,V850,W850,X850,AA850)</f>
        <v>O23011745032024025516018</v>
      </c>
      <c r="AF850" s="172" t="str">
        <f>IFERROR(VLOOKUP(AD850,TD!$J$70:$K$93,2,0)," ")</f>
        <v>PM/0131/0116/45030180255</v>
      </c>
      <c r="AG850" s="114" t="s">
        <v>385</v>
      </c>
      <c r="AH850" s="175" t="s">
        <v>194</v>
      </c>
      <c r="AI850" s="184" t="str">
        <f>CONCATENATE(PAA[[#This Row],[Id Interno]],"-",PAA[[#This Row],[tipo de Contrato (TH talento humano - B/S bienes y/o servicios)]],"-",S850,"-",T850,"-",PAA[[#This Row],[Objeto de la contratación]])</f>
        <v>20260881-TH-8173-5-- Adicion y prorroga cto 216-2026 Prestar servicios profesionales liderando las actividades de identificacion y caracterizacion  de escenarios  de riesgos a cargo de la Subdirección de Gestión del Riesgo._SGR</v>
      </c>
    </row>
    <row r="851" spans="2:35" ht="56" x14ac:dyDescent="0.35">
      <c r="B851" s="143">
        <v>20260883</v>
      </c>
      <c r="C851" s="97" t="s">
        <v>1166</v>
      </c>
      <c r="D851" s="23" t="s">
        <v>105</v>
      </c>
      <c r="E851" s="23" t="s">
        <v>363</v>
      </c>
      <c r="F851" s="23" t="s">
        <v>145</v>
      </c>
      <c r="G851" s="124" t="s">
        <v>382</v>
      </c>
      <c r="H851" s="131">
        <v>1</v>
      </c>
      <c r="I851" s="131">
        <v>0</v>
      </c>
      <c r="J851" s="122">
        <v>4000000</v>
      </c>
      <c r="K851" s="88" t="s">
        <v>398</v>
      </c>
      <c r="L851" s="163" t="s">
        <v>156</v>
      </c>
      <c r="M851" s="166" t="s">
        <v>484</v>
      </c>
      <c r="N851" s="23" t="s">
        <v>198</v>
      </c>
      <c r="O851" s="166" t="s">
        <v>887</v>
      </c>
      <c r="P851" s="166" t="s">
        <v>348</v>
      </c>
      <c r="Q851" s="53">
        <v>80111600</v>
      </c>
      <c r="R851" s="166" t="s">
        <v>210</v>
      </c>
      <c r="S851" s="166" t="str">
        <f>MID(PAA[[#This Row],[Meta Proyecto de Inversión]],1,4)</f>
        <v>8173</v>
      </c>
      <c r="T851" s="166" t="str">
        <f>MID(PAA[[#This Row],[Meta Proyecto de Inversión]],6,2)</f>
        <v>1-</v>
      </c>
      <c r="U851" s="167" t="str">
        <f>IFERROR(VLOOKUP(N851,TD!$B$54:$F$58,2,0)," ")</f>
        <v>O230117</v>
      </c>
      <c r="V851" s="167" t="str">
        <f>IFERROR(VLOOKUP(N851,TD!$B$54:$F$58,3,0)," ")</f>
        <v>4503</v>
      </c>
      <c r="W851" s="167">
        <f>IFERROR(VLOOKUP(N851,TD!$B$54:$F$58,4,0)," ")</f>
        <v>20240255</v>
      </c>
      <c r="X851" s="166" t="s">
        <v>170</v>
      </c>
      <c r="Y851" s="172" t="str">
        <f>IFERROR(VLOOKUP(X851,TD!$J$55:$K$68,2,0)," ")</f>
        <v>Servicio de inspecciones técnicas realizadas</v>
      </c>
      <c r="Z851" s="168" t="str">
        <f>CONCATENATE(X851,"-",Y851)</f>
        <v>06-Servicio de inspecciones técnicas realizadas</v>
      </c>
      <c r="AA851" s="166" t="s">
        <v>223</v>
      </c>
      <c r="AB851" s="172" t="str">
        <f>IFERROR(VLOOKUP(AA851,TD!$N$55:$O$70,2,0)," ")</f>
        <v>Servicio prevención y control de incendios</v>
      </c>
      <c r="AC851" s="168" t="str">
        <f>CONCATENATE(AA851,"_",AB851)</f>
        <v>035_Servicio prevención y control de incendios</v>
      </c>
      <c r="AD851" s="168" t="str">
        <f>CONCATENATE(Z851," ",AC851)</f>
        <v>06-Servicio de inspecciones técnicas realizadas 035_Servicio prevención y control de incendios</v>
      </c>
      <c r="AE851" s="167" t="str">
        <f>CONCATENATE(U851,V851,W851,X851,AA851)</f>
        <v>O23011745032024025506035</v>
      </c>
      <c r="AF851" s="172" t="str">
        <f>IFERROR(VLOOKUP(AD851,TD!$J$70:$K$93,2,0)," ")</f>
        <v>PM/0131/0106/45030350255</v>
      </c>
      <c r="AG851" s="114" t="s">
        <v>385</v>
      </c>
      <c r="AH851" s="175" t="s">
        <v>194</v>
      </c>
      <c r="AI851" s="184" t="str">
        <f>CONCATENATE(PAA[[#This Row],[Id Interno]],"-",PAA[[#This Row],[tipo de Contrato (TH talento humano - B/S bienes y/o servicios)]],"-",S851,"-",T851,"-",PAA[[#This Row],[Objeto de la contratación]])</f>
        <v>20260883-TH-8173-1-- Adicion y prorroga cto  327-2026 Prestar  servicios de apoyo tecnico para realizar las inspecciones relacionadas con la emision de conceptos a cargo de la Subdirección de Gestión del Riesgo._SGR</v>
      </c>
    </row>
    <row r="852" spans="2:35" s="56" customFormat="1" ht="56" x14ac:dyDescent="0.35">
      <c r="B852" s="143">
        <v>20260884</v>
      </c>
      <c r="C852" s="97" t="s">
        <v>1157</v>
      </c>
      <c r="D852" s="23" t="s">
        <v>105</v>
      </c>
      <c r="E852" s="23" t="s">
        <v>363</v>
      </c>
      <c r="F852" s="23" t="s">
        <v>144</v>
      </c>
      <c r="G852" s="124" t="s">
        <v>381</v>
      </c>
      <c r="H852" s="131">
        <v>3</v>
      </c>
      <c r="I852" s="131">
        <v>0</v>
      </c>
      <c r="J852" s="122">
        <v>20100000</v>
      </c>
      <c r="K852" s="88" t="s">
        <v>398</v>
      </c>
      <c r="L852" s="163" t="s">
        <v>156</v>
      </c>
      <c r="M852" s="166" t="s">
        <v>484</v>
      </c>
      <c r="N852" s="23" t="s">
        <v>198</v>
      </c>
      <c r="O852" s="166" t="s">
        <v>887</v>
      </c>
      <c r="P852" s="166" t="s">
        <v>348</v>
      </c>
      <c r="Q852" s="53">
        <v>80111600</v>
      </c>
      <c r="R852" s="166" t="s">
        <v>210</v>
      </c>
      <c r="S852" s="166" t="str">
        <f>MID(PAA[[#This Row],[Meta Proyecto de Inversión]],1,4)</f>
        <v>8173</v>
      </c>
      <c r="T852" s="166" t="str">
        <f>MID(PAA[[#This Row],[Meta Proyecto de Inversión]],6,2)</f>
        <v>1-</v>
      </c>
      <c r="U852" s="167" t="str">
        <f>IFERROR(VLOOKUP(N852,TD!$B$54:$F$58,2,0)," ")</f>
        <v>O230117</v>
      </c>
      <c r="V852" s="167" t="str">
        <f>IFERROR(VLOOKUP(N852,TD!$B$54:$F$58,3,0)," ")</f>
        <v>4503</v>
      </c>
      <c r="W852" s="167">
        <f>IFERROR(VLOOKUP(N852,TD!$B$54:$F$58,4,0)," ")</f>
        <v>20240255</v>
      </c>
      <c r="X852" s="166" t="s">
        <v>166</v>
      </c>
      <c r="Y852" s="172" t="str">
        <f>IFERROR(VLOOKUP(X852,TD!$J$55:$K$68,2,0)," ")</f>
        <v>Servicio de capacitaciones en gestión del riesgo de incendios  a la ciudadania.</v>
      </c>
      <c r="Z852" s="168" t="str">
        <f>CONCATENATE(X852,"-",Y852)</f>
        <v>05-Servicio de capacitaciones en gestión del riesgo de incendios  a la ciudadania.</v>
      </c>
      <c r="AA852" s="166" t="s">
        <v>223</v>
      </c>
      <c r="AB852" s="172" t="str">
        <f>IFERROR(VLOOKUP(AA852,TD!$N$55:$O$70,2,0)," ")</f>
        <v>Servicio prevención y control de incendios</v>
      </c>
      <c r="AC852" s="168" t="str">
        <f>CONCATENATE(AA852,"_",AB852)</f>
        <v>035_Servicio prevención y control de incendios</v>
      </c>
      <c r="AD852" s="168" t="str">
        <f>CONCATENATE(Z852," ",AC852)</f>
        <v>05-Servicio de capacitaciones en gestión del riesgo de incendios  a la ciudadania. 035_Servicio prevención y control de incendios</v>
      </c>
      <c r="AE852" s="167" t="str">
        <f>CONCATENATE(U852,V852,W852,X852,AA852)</f>
        <v>O23011745032024025505035</v>
      </c>
      <c r="AF852" s="172" t="str">
        <f>IFERROR(VLOOKUP(AD852,TD!$J$70:$K$93,2,0)," ")</f>
        <v>PM/0131/0105/45030350255</v>
      </c>
      <c r="AG852" s="114" t="s">
        <v>385</v>
      </c>
      <c r="AH852" s="175" t="s">
        <v>193</v>
      </c>
      <c r="AI852" s="184" t="str">
        <f>CONCATENATE(PAA[[#This Row],[Id Interno]],"-",PAA[[#This Row],[tipo de Contrato (TH talento humano - B/S bienes y/o servicios)]],"-",S852,"-",T852,"-",PAA[[#This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53" spans="2:35" ht="56" x14ac:dyDescent="0.35">
      <c r="B853" s="143">
        <v>20260885</v>
      </c>
      <c r="C853" s="97" t="s">
        <v>1167</v>
      </c>
      <c r="D853" s="23" t="s">
        <v>105</v>
      </c>
      <c r="E853" s="23" t="s">
        <v>363</v>
      </c>
      <c r="F853" s="23" t="s">
        <v>144</v>
      </c>
      <c r="G853" s="124" t="s">
        <v>379</v>
      </c>
      <c r="H853" s="131">
        <v>4</v>
      </c>
      <c r="I853" s="131">
        <v>0</v>
      </c>
      <c r="J853" s="122">
        <v>8000000</v>
      </c>
      <c r="K853" s="88" t="s">
        <v>398</v>
      </c>
      <c r="L853" s="163" t="s">
        <v>156</v>
      </c>
      <c r="M853" s="166" t="s">
        <v>484</v>
      </c>
      <c r="N853" s="23" t="s">
        <v>198</v>
      </c>
      <c r="O853" s="166" t="s">
        <v>887</v>
      </c>
      <c r="P853" s="166" t="s">
        <v>348</v>
      </c>
      <c r="Q853" s="53">
        <v>80111600</v>
      </c>
      <c r="R853" s="166" t="s">
        <v>210</v>
      </c>
      <c r="S853" s="166" t="str">
        <f>MID(PAA[[#This Row],[Meta Proyecto de Inversión]],1,4)</f>
        <v>8173</v>
      </c>
      <c r="T853" s="166" t="str">
        <f>MID(PAA[[#This Row],[Meta Proyecto de Inversión]],6,2)</f>
        <v>1-</v>
      </c>
      <c r="U853" s="167" t="str">
        <f>IFERROR(VLOOKUP(N853,TD!$B$54:$F$58,2,0)," ")</f>
        <v>O230117</v>
      </c>
      <c r="V853" s="167" t="str">
        <f>IFERROR(VLOOKUP(N853,TD!$B$54:$F$58,3,0)," ")</f>
        <v>4503</v>
      </c>
      <c r="W853" s="167">
        <f>IFERROR(VLOOKUP(N853,TD!$B$54:$F$58,4,0)," ")</f>
        <v>20240255</v>
      </c>
      <c r="X853" s="166" t="s">
        <v>166</v>
      </c>
      <c r="Y853" s="172" t="str">
        <f>IFERROR(VLOOKUP(X853,TD!$J$55:$K$68,2,0)," ")</f>
        <v>Servicio de capacitaciones en gestión del riesgo de incendios  a la ciudadania.</v>
      </c>
      <c r="Z853" s="168" t="str">
        <f>CONCATENATE(X853,"-",Y853)</f>
        <v>05-Servicio de capacitaciones en gestión del riesgo de incendios  a la ciudadania.</v>
      </c>
      <c r="AA853" s="166" t="s">
        <v>223</v>
      </c>
      <c r="AB853" s="172" t="str">
        <f>IFERROR(VLOOKUP(AA853,TD!$N$55:$O$70,2,0)," ")</f>
        <v>Servicio prevención y control de incendios</v>
      </c>
      <c r="AC853" s="168" t="str">
        <f>CONCATENATE(AA853,"_",AB853)</f>
        <v>035_Servicio prevención y control de incendios</v>
      </c>
      <c r="AD853" s="168" t="str">
        <f>CONCATENATE(Z853," ",AC853)</f>
        <v>05-Servicio de capacitaciones en gestión del riesgo de incendios  a la ciudadania. 035_Servicio prevención y control de incendios</v>
      </c>
      <c r="AE853" s="167" t="str">
        <f>CONCATENATE(U853,V853,W853,X853,AA853)</f>
        <v>O23011745032024025505035</v>
      </c>
      <c r="AF853" s="172" t="str">
        <f>IFERROR(VLOOKUP(AD853,TD!$J$70:$K$93,2,0)," ")</f>
        <v>PM/0131/0105/45030350255</v>
      </c>
      <c r="AG853" s="114" t="s">
        <v>385</v>
      </c>
      <c r="AH853" s="175" t="s">
        <v>193</v>
      </c>
      <c r="AI853" s="184" t="str">
        <f>CONCATENATE(PAA[[#This Row],[Id Interno]],"-",PAA[[#This Row],[tipo de Contrato (TH talento humano - B/S bienes y/o servicios)]],"-",S853,"-",T853,"-",PAA[[#This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54" spans="2:35" ht="84" x14ac:dyDescent="0.35">
      <c r="B854" s="143">
        <v>20260886</v>
      </c>
      <c r="C854" s="97" t="s">
        <v>1157</v>
      </c>
      <c r="D854" s="23" t="s">
        <v>105</v>
      </c>
      <c r="E854" s="23" t="s">
        <v>363</v>
      </c>
      <c r="F854" s="23" t="s">
        <v>144</v>
      </c>
      <c r="G854" s="124" t="s">
        <v>379</v>
      </c>
      <c r="H854" s="131">
        <v>4</v>
      </c>
      <c r="I854" s="131">
        <v>0</v>
      </c>
      <c r="J854" s="122">
        <v>24800000</v>
      </c>
      <c r="K854" s="88" t="s">
        <v>398</v>
      </c>
      <c r="L854" s="163" t="s">
        <v>156</v>
      </c>
      <c r="M854" s="166" t="s">
        <v>484</v>
      </c>
      <c r="N854" s="23" t="s">
        <v>198</v>
      </c>
      <c r="O854" s="166" t="s">
        <v>887</v>
      </c>
      <c r="P854" s="166" t="s">
        <v>348</v>
      </c>
      <c r="Q854" s="53">
        <v>80111600</v>
      </c>
      <c r="R854" s="166" t="s">
        <v>210</v>
      </c>
      <c r="S854" s="166" t="str">
        <f>MID(PAA[[#This Row],[Meta Proyecto de Inversión]],1,4)</f>
        <v>8173</v>
      </c>
      <c r="T854" s="166" t="str">
        <f>MID(PAA[[#This Row],[Meta Proyecto de Inversión]],6,2)</f>
        <v>1-</v>
      </c>
      <c r="U854" s="167" t="str">
        <f>IFERROR(VLOOKUP(N854,TD!$B$54:$F$58,2,0)," ")</f>
        <v>O230117</v>
      </c>
      <c r="V854" s="167" t="str">
        <f>IFERROR(VLOOKUP(N854,TD!$B$54:$F$58,3,0)," ")</f>
        <v>4503</v>
      </c>
      <c r="W854" s="167">
        <f>IFERROR(VLOOKUP(N854,TD!$B$54:$F$58,4,0)," ")</f>
        <v>20240255</v>
      </c>
      <c r="X854" s="166" t="s">
        <v>166</v>
      </c>
      <c r="Y854" s="172" t="str">
        <f>IFERROR(VLOOKUP(X854,TD!$J$55:$K$68,2,0)," ")</f>
        <v>Servicio de capacitaciones en gestión del riesgo de incendios  a la ciudadania.</v>
      </c>
      <c r="Z854" s="168" t="str">
        <f>CONCATENATE(X854,"-",Y854)</f>
        <v>05-Servicio de capacitaciones en gestión del riesgo de incendios  a la ciudadania.</v>
      </c>
      <c r="AA854" s="166" t="s">
        <v>223</v>
      </c>
      <c r="AB854" s="172" t="str">
        <f>IFERROR(VLOOKUP(AA854,TD!$N$55:$O$70,2,0)," ")</f>
        <v>Servicio prevención y control de incendios</v>
      </c>
      <c r="AC854" s="168" t="str">
        <f>CONCATENATE(AA854,"_",AB854)</f>
        <v>035_Servicio prevención y control de incendios</v>
      </c>
      <c r="AD854" s="168" t="str">
        <f>CONCATENATE(Z854," ",AC854)</f>
        <v>05-Servicio de capacitaciones en gestión del riesgo de incendios  a la ciudadania. 035_Servicio prevención y control de incendios</v>
      </c>
      <c r="AE854" s="167" t="str">
        <f>CONCATENATE(U854,V854,W854,X854,AA854)</f>
        <v>O23011745032024025505035</v>
      </c>
      <c r="AF854" s="172" t="str">
        <f>IFERROR(VLOOKUP(AD854,TD!$J$70:$K$93,2,0)," ")</f>
        <v>PM/0131/0105/45030350255</v>
      </c>
      <c r="AG854" s="114" t="s">
        <v>385</v>
      </c>
      <c r="AH854" s="175" t="s">
        <v>193</v>
      </c>
      <c r="AI854" s="184" t="str">
        <f>CONCATENATE(PAA[[#This Row],[Id Interno]],"-",PAA[[#This Row],[tipo de Contrato (TH talento humano - B/S bienes y/o servicios)]],"-",S854,"-",T854,"-",PAA[[#This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55" spans="2:35" ht="56" x14ac:dyDescent="0.35">
      <c r="B855" s="143">
        <v>20260887</v>
      </c>
      <c r="C855" s="97" t="s">
        <v>1171</v>
      </c>
      <c r="D855" s="23" t="s">
        <v>105</v>
      </c>
      <c r="E855" s="23" t="s">
        <v>363</v>
      </c>
      <c r="F855" s="23" t="s">
        <v>144</v>
      </c>
      <c r="G855" s="124" t="s">
        <v>379</v>
      </c>
      <c r="H855" s="131">
        <v>3</v>
      </c>
      <c r="I855" s="131">
        <v>0</v>
      </c>
      <c r="J855" s="122">
        <v>24750000</v>
      </c>
      <c r="K855" s="88" t="s">
        <v>398</v>
      </c>
      <c r="L855" s="163" t="s">
        <v>45</v>
      </c>
      <c r="M855" s="166" t="s">
        <v>401</v>
      </c>
      <c r="N855" s="23" t="s">
        <v>197</v>
      </c>
      <c r="O855" s="166" t="s">
        <v>886</v>
      </c>
      <c r="P855" s="166" t="s">
        <v>348</v>
      </c>
      <c r="Q855" s="53">
        <v>80111600</v>
      </c>
      <c r="R855" s="166" t="s">
        <v>208</v>
      </c>
      <c r="S855" s="166" t="str">
        <f>MID(PAA[[#This Row],[Meta Proyecto de Inversión]],1,4)</f>
        <v>8126</v>
      </c>
      <c r="T855" s="166" t="str">
        <f>MID(PAA[[#This Row],[Meta Proyecto de Inversión]],6,2)</f>
        <v>9-</v>
      </c>
      <c r="U855" s="167" t="str">
        <f>IFERROR(VLOOKUP(N855,TD!$B$54:$F$58,2,0)," ")</f>
        <v>O230117</v>
      </c>
      <c r="V855" s="167" t="str">
        <f>IFERROR(VLOOKUP(N855,TD!$B$54:$F$58,3,0)," ")</f>
        <v>4599</v>
      </c>
      <c r="W855" s="167">
        <f>IFERROR(VLOOKUP(N855,TD!$B$54:$F$58,4,0)," ")</f>
        <v>20240207</v>
      </c>
      <c r="X855" s="166" t="s">
        <v>174</v>
      </c>
      <c r="Y855" s="172" t="str">
        <f>IFERROR(VLOOKUP(X855,TD!$J$55:$K$68,2,0)," ")</f>
        <v>Infraestructura física, mantenimiento y dotación (Sedes construidas, mantenidas reforzadas)</v>
      </c>
      <c r="Z855" s="168" t="str">
        <f>CONCATENATE(X855,"-",Y855)</f>
        <v>08-Infraestructura física, mantenimiento y dotación (Sedes construidas, mantenidas reforzadas)</v>
      </c>
      <c r="AA855" s="166" t="s">
        <v>227</v>
      </c>
      <c r="AB855" s="172" t="str">
        <f>IFERROR(VLOOKUP(AA855,TD!$N$55:$O$70,2,0)," ")</f>
        <v>Sedes mantenidas</v>
      </c>
      <c r="AC855" s="168" t="str">
        <f>CONCATENATE(AA855,"_",AB855)</f>
        <v>016_Sedes mantenidas</v>
      </c>
      <c r="AD855" s="168" t="str">
        <f>CONCATENATE(Z855," ",AC855)</f>
        <v>08-Infraestructura física, mantenimiento y dotación (Sedes construidas, mantenidas reforzadas) 016_Sedes mantenidas</v>
      </c>
      <c r="AE855" s="167" t="str">
        <f>CONCATENATE(U855,V855,W855,X855,AA855)</f>
        <v>O23011745992024020708016</v>
      </c>
      <c r="AF855" s="172" t="str">
        <f>IFERROR(VLOOKUP(AD855,TD!$J$70:$K$93,2,0)," ")</f>
        <v>PM/0131/0108/45990160207</v>
      </c>
      <c r="AG855" s="114" t="s">
        <v>385</v>
      </c>
      <c r="AH855" s="175" t="s">
        <v>194</v>
      </c>
      <c r="AI855" s="184" t="str">
        <f>CONCATENATE(PAA[[#This Row],[Id Interno]],"-",PAA[[#This Row],[tipo de Contrato (TH talento humano - B/S bienes y/o servicios)]],"-",S855,"-",T855,"-",PAA[[#This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56" spans="2:35" ht="70" x14ac:dyDescent="0.35">
      <c r="B856" s="143">
        <v>20260888</v>
      </c>
      <c r="C856" s="97" t="s">
        <v>1172</v>
      </c>
      <c r="D856" s="23" t="s">
        <v>105</v>
      </c>
      <c r="E856" s="23" t="s">
        <v>363</v>
      </c>
      <c r="F856" s="23" t="s">
        <v>144</v>
      </c>
      <c r="G856" s="124" t="s">
        <v>379</v>
      </c>
      <c r="H856" s="131">
        <v>3</v>
      </c>
      <c r="I856" s="131">
        <v>0</v>
      </c>
      <c r="J856" s="122">
        <v>20400000</v>
      </c>
      <c r="K856" s="88" t="s">
        <v>398</v>
      </c>
      <c r="L856" s="163" t="s">
        <v>150</v>
      </c>
      <c r="M856" s="166" t="s">
        <v>401</v>
      </c>
      <c r="N856" s="23" t="s">
        <v>197</v>
      </c>
      <c r="O856" s="166" t="s">
        <v>886</v>
      </c>
      <c r="P856" s="166" t="s">
        <v>348</v>
      </c>
      <c r="Q856" s="53">
        <v>80111600</v>
      </c>
      <c r="R856" s="166" t="s">
        <v>209</v>
      </c>
      <c r="S856" s="166" t="str">
        <f>MID(PAA[[#This Row],[Meta Proyecto de Inversión]],1,4)</f>
        <v>8126</v>
      </c>
      <c r="T856" s="166" t="str">
        <f>MID(PAA[[#This Row],[Meta Proyecto de Inversión]],6,2)</f>
        <v>10</v>
      </c>
      <c r="U856" s="167" t="str">
        <f>IFERROR(VLOOKUP(N856,TD!$B$54:$F$58,2,0)," ")</f>
        <v>O230117</v>
      </c>
      <c r="V856" s="167" t="str">
        <f>IFERROR(VLOOKUP(N856,TD!$B$54:$F$58,3,0)," ")</f>
        <v>4599</v>
      </c>
      <c r="W856" s="167">
        <f>IFERROR(VLOOKUP(N856,TD!$B$54:$F$58,4,0)," ")</f>
        <v>20240207</v>
      </c>
      <c r="X856" s="166" t="s">
        <v>182</v>
      </c>
      <c r="Y856" s="172" t="str">
        <f>IFERROR(VLOOKUP(X856,TD!$J$55:$K$68,2,0)," ")</f>
        <v>Servicios para la planeación y sistemas de gestión y comunicación estratégica</v>
      </c>
      <c r="Z856" s="168" t="str">
        <f>CONCATENATE(X856,"-",Y856)</f>
        <v>13-Servicios para la planeación y sistemas de gestión y comunicación estratégica</v>
      </c>
      <c r="AA856" s="166" t="s">
        <v>231</v>
      </c>
      <c r="AB856" s="172" t="str">
        <f>IFERROR(VLOOKUP(AA856,TD!$N$55:$O$70,2,0)," ")</f>
        <v>Documentos de planeación</v>
      </c>
      <c r="AC856" s="168" t="str">
        <f>CONCATENATE(AA856,"_",AB856)</f>
        <v>019_Documentos de planeación</v>
      </c>
      <c r="AD856" s="168" t="str">
        <f>CONCATENATE(Z856," ",AC856)</f>
        <v>13-Servicios para la planeación y sistemas de gestión y comunicación estratégica 019_Documentos de planeación</v>
      </c>
      <c r="AE856" s="167" t="str">
        <f>CONCATENATE(U856,V856,W856,X856,AA856)</f>
        <v>O23011745992024020713019</v>
      </c>
      <c r="AF856" s="172" t="str">
        <f>IFERROR(VLOOKUP(AD856,TD!$J$70:$K$93,2,0)," ")</f>
        <v>PM/0131/0113/45990190207</v>
      </c>
      <c r="AG856" s="114" t="s">
        <v>385</v>
      </c>
      <c r="AH856" s="175" t="s">
        <v>194</v>
      </c>
      <c r="AI856" s="184" t="str">
        <f>CONCATENATE(PAA[[#This Row],[Id Interno]],"-",PAA[[#This Row],[tipo de Contrato (TH talento humano - B/S bienes y/o servicios)]],"-",S856,"-",T856,"-",PAA[[#This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57" spans="2:35" ht="70" x14ac:dyDescent="0.35">
      <c r="B857" s="143">
        <v>20260889</v>
      </c>
      <c r="C857" s="97" t="s">
        <v>850</v>
      </c>
      <c r="D857" s="23" t="s">
        <v>105</v>
      </c>
      <c r="E857" s="23" t="s">
        <v>363</v>
      </c>
      <c r="F857" s="23" t="s">
        <v>144</v>
      </c>
      <c r="G857" s="124" t="s">
        <v>380</v>
      </c>
      <c r="H857" s="131">
        <v>3</v>
      </c>
      <c r="I857" s="131">
        <v>0</v>
      </c>
      <c r="J857" s="122">
        <v>30600000</v>
      </c>
      <c r="K857" s="88" t="s">
        <v>398</v>
      </c>
      <c r="L857" s="163" t="s">
        <v>150</v>
      </c>
      <c r="M857" s="166" t="s">
        <v>401</v>
      </c>
      <c r="N857" s="23" t="s">
        <v>197</v>
      </c>
      <c r="O857" s="166" t="s">
        <v>886</v>
      </c>
      <c r="P857" s="166" t="s">
        <v>348</v>
      </c>
      <c r="Q857" s="53">
        <v>80111600</v>
      </c>
      <c r="R857" s="166" t="s">
        <v>209</v>
      </c>
      <c r="S857" s="166" t="str">
        <f>MID(PAA[[#This Row],[Meta Proyecto de Inversión]],1,4)</f>
        <v>8126</v>
      </c>
      <c r="T857" s="166" t="str">
        <f>MID(PAA[[#This Row],[Meta Proyecto de Inversión]],6,2)</f>
        <v>10</v>
      </c>
      <c r="U857" s="167" t="str">
        <f>IFERROR(VLOOKUP(N857,TD!$B$54:$F$58,2,0)," ")</f>
        <v>O230117</v>
      </c>
      <c r="V857" s="167" t="str">
        <f>IFERROR(VLOOKUP(N857,TD!$B$54:$F$58,3,0)," ")</f>
        <v>4599</v>
      </c>
      <c r="W857" s="167">
        <f>IFERROR(VLOOKUP(N857,TD!$B$54:$F$58,4,0)," ")</f>
        <v>20240207</v>
      </c>
      <c r="X857" s="166" t="s">
        <v>182</v>
      </c>
      <c r="Y857" s="172" t="str">
        <f>IFERROR(VLOOKUP(X857,TD!$J$55:$K$68,2,0)," ")</f>
        <v>Servicios para la planeación y sistemas de gestión y comunicación estratégica</v>
      </c>
      <c r="Z857" s="168" t="str">
        <f>CONCATENATE(X857,"-",Y857)</f>
        <v>13-Servicios para la planeación y sistemas de gestión y comunicación estratégica</v>
      </c>
      <c r="AA857" s="166" t="s">
        <v>231</v>
      </c>
      <c r="AB857" s="172" t="str">
        <f>IFERROR(VLOOKUP(AA857,TD!$N$55:$O$70,2,0)," ")</f>
        <v>Documentos de planeación</v>
      </c>
      <c r="AC857" s="168" t="str">
        <f>CONCATENATE(AA857,"_",AB857)</f>
        <v>019_Documentos de planeación</v>
      </c>
      <c r="AD857" s="168" t="str">
        <f>CONCATENATE(Z857," ",AC857)</f>
        <v>13-Servicios para la planeación y sistemas de gestión y comunicación estratégica 019_Documentos de planeación</v>
      </c>
      <c r="AE857" s="167" t="str">
        <f>CONCATENATE(U857,V857,W857,X857,AA857)</f>
        <v>O23011745992024020713019</v>
      </c>
      <c r="AF857" s="172" t="str">
        <f>IFERROR(VLOOKUP(AD857,TD!$J$70:$K$93,2,0)," ")</f>
        <v>PM/0131/0113/45990190207</v>
      </c>
      <c r="AG857" s="114" t="s">
        <v>385</v>
      </c>
      <c r="AH857" s="175" t="s">
        <v>193</v>
      </c>
      <c r="AI857" s="184" t="str">
        <f>CONCATENATE(PAA[[#This Row],[Id Interno]],"-",PAA[[#This Row],[tipo de Contrato (TH talento humano - B/S bienes y/o servicios)]],"-",S857,"-",T857,"-",PAA[[#This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58" spans="2:35" ht="70" x14ac:dyDescent="0.35">
      <c r="B858" s="143">
        <v>20260890</v>
      </c>
      <c r="C858" s="97" t="s">
        <v>1174</v>
      </c>
      <c r="D858" s="23" t="s">
        <v>105</v>
      </c>
      <c r="E858" s="23" t="s">
        <v>363</v>
      </c>
      <c r="F858" s="23" t="s">
        <v>144</v>
      </c>
      <c r="G858" s="124" t="s">
        <v>379</v>
      </c>
      <c r="H858" s="131">
        <v>4</v>
      </c>
      <c r="I858" s="131">
        <v>0</v>
      </c>
      <c r="J858" s="122">
        <v>28000000</v>
      </c>
      <c r="K858" s="88" t="s">
        <v>398</v>
      </c>
      <c r="L858" s="163" t="s">
        <v>154</v>
      </c>
      <c r="M858" s="166" t="s">
        <v>438</v>
      </c>
      <c r="N858" s="23" t="s">
        <v>198</v>
      </c>
      <c r="O858" s="166" t="s">
        <v>887</v>
      </c>
      <c r="P858" s="166" t="s">
        <v>348</v>
      </c>
      <c r="Q858" s="53">
        <v>80111600</v>
      </c>
      <c r="R858" s="166" t="s">
        <v>218</v>
      </c>
      <c r="S858" s="166" t="str">
        <f>MID(PAA[[#This Row],[Meta Proyecto de Inversión]],1,4)</f>
        <v>8173</v>
      </c>
      <c r="T858" s="166" t="str">
        <f>MID(PAA[[#This Row],[Meta Proyecto de Inversión]],6,2)</f>
        <v>9-</v>
      </c>
      <c r="U858" s="167" t="str">
        <f>IFERROR(VLOOKUP(N858,TD!$B$54:$F$58,2,0)," ")</f>
        <v>O230117</v>
      </c>
      <c r="V858" s="167" t="str">
        <f>IFERROR(VLOOKUP(N858,TD!$B$54:$F$58,3,0)," ")</f>
        <v>4503</v>
      </c>
      <c r="W858" s="167">
        <f>IFERROR(VLOOKUP(N858,TD!$B$54:$F$58,4,0)," ")</f>
        <v>20240255</v>
      </c>
      <c r="X858" s="166" t="s">
        <v>172</v>
      </c>
      <c r="Y858" s="172" t="str">
        <f>IFERROR(VLOOKUP(X858,TD!$J$55:$K$68,2,0)," ")</f>
        <v>Servicio de formación en gestión del riesgo de incendios para el personal UAECOB</v>
      </c>
      <c r="Z858" s="168" t="str">
        <f>CONCATENATE(X858,"-",Y858)</f>
        <v>07-Servicio de formación en gestión del riesgo de incendios para el personal UAECOB</v>
      </c>
      <c r="AA858" s="166" t="s">
        <v>222</v>
      </c>
      <c r="AB858" s="172" t="str">
        <f>IFERROR(VLOOKUP(AA858,TD!$N$55:$O$70,2,0)," ")</f>
        <v>Servicio de educación informal</v>
      </c>
      <c r="AC858" s="168" t="str">
        <f>CONCATENATE(AA858,"_",AB858)</f>
        <v>002_Servicio de educación informal</v>
      </c>
      <c r="AD858" s="168" t="str">
        <f>CONCATENATE(Z858," ",AC858)</f>
        <v>07-Servicio de formación en gestión del riesgo de incendios para el personal UAECOB 002_Servicio de educación informal</v>
      </c>
      <c r="AE858" s="167" t="str">
        <f>CONCATENATE(U858,V858,W858,X858,AA858)</f>
        <v>O23011745032024025507002</v>
      </c>
      <c r="AF858" s="172" t="str">
        <f>IFERROR(VLOOKUP(AD858,TD!$J$70:$K$93,2,0)," ")</f>
        <v>PM/0131/0107/45030020255</v>
      </c>
      <c r="AG858" s="114" t="s">
        <v>385</v>
      </c>
      <c r="AH858" s="175" t="s">
        <v>193</v>
      </c>
      <c r="AI858" s="184" t="str">
        <f>CONCATENATE(PAA[[#This Row],[Id Interno]],"-",PAA[[#This Row],[tipo de Contrato (TH talento humano - B/S bienes y/o servicios)]],"-",S858,"-",T858,"-",PAA[[#This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59" spans="2:35" s="56" customFormat="1" ht="98" x14ac:dyDescent="0.35">
      <c r="B859" s="143">
        <v>20260891</v>
      </c>
      <c r="C859" s="97" t="s">
        <v>1175</v>
      </c>
      <c r="D859" s="23" t="s">
        <v>105</v>
      </c>
      <c r="E859" s="23" t="s">
        <v>363</v>
      </c>
      <c r="F859" s="23" t="s">
        <v>144</v>
      </c>
      <c r="G859" s="124" t="s">
        <v>379</v>
      </c>
      <c r="H859" s="131">
        <v>4</v>
      </c>
      <c r="I859" s="131">
        <v>0</v>
      </c>
      <c r="J859" s="122">
        <v>23600000</v>
      </c>
      <c r="K859" s="88" t="s">
        <v>398</v>
      </c>
      <c r="L859" s="163" t="s">
        <v>154</v>
      </c>
      <c r="M859" s="166" t="s">
        <v>438</v>
      </c>
      <c r="N859" s="23" t="s">
        <v>198</v>
      </c>
      <c r="O859" s="166" t="s">
        <v>887</v>
      </c>
      <c r="P859" s="166" t="s">
        <v>348</v>
      </c>
      <c r="Q859" s="53">
        <v>80111600</v>
      </c>
      <c r="R859" s="166" t="s">
        <v>218</v>
      </c>
      <c r="S859" s="166" t="str">
        <f>MID(PAA[[#This Row],[Meta Proyecto de Inversión]],1,4)</f>
        <v>8173</v>
      </c>
      <c r="T859" s="166" t="str">
        <f>MID(PAA[[#This Row],[Meta Proyecto de Inversión]],6,2)</f>
        <v>9-</v>
      </c>
      <c r="U859" s="167" t="str">
        <f>IFERROR(VLOOKUP(N859,TD!$B$54:$F$58,2,0)," ")</f>
        <v>O230117</v>
      </c>
      <c r="V859" s="167" t="str">
        <f>IFERROR(VLOOKUP(N859,TD!$B$54:$F$58,3,0)," ")</f>
        <v>4503</v>
      </c>
      <c r="W859" s="167">
        <f>IFERROR(VLOOKUP(N859,TD!$B$54:$F$58,4,0)," ")</f>
        <v>20240255</v>
      </c>
      <c r="X859" s="166" t="s">
        <v>172</v>
      </c>
      <c r="Y859" s="172" t="str">
        <f>IFERROR(VLOOKUP(X859,TD!$J$55:$K$68,2,0)," ")</f>
        <v>Servicio de formación en gestión del riesgo de incendios para el personal UAECOB</v>
      </c>
      <c r="Z859" s="168" t="str">
        <f>CONCATENATE(X859,"-",Y859)</f>
        <v>07-Servicio de formación en gestión del riesgo de incendios para el personal UAECOB</v>
      </c>
      <c r="AA859" s="166" t="s">
        <v>222</v>
      </c>
      <c r="AB859" s="172" t="str">
        <f>IFERROR(VLOOKUP(AA859,TD!$N$55:$O$70,2,0)," ")</f>
        <v>Servicio de educación informal</v>
      </c>
      <c r="AC859" s="168" t="str">
        <f>CONCATENATE(AA859,"_",AB859)</f>
        <v>002_Servicio de educación informal</v>
      </c>
      <c r="AD859" s="168" t="str">
        <f>CONCATENATE(Z859," ",AC859)</f>
        <v>07-Servicio de formación en gestión del riesgo de incendios para el personal UAECOB 002_Servicio de educación informal</v>
      </c>
      <c r="AE859" s="167" t="str">
        <f>CONCATENATE(U859,V859,W859,X859,AA859)</f>
        <v>O23011745032024025507002</v>
      </c>
      <c r="AF859" s="172" t="str">
        <f>IFERROR(VLOOKUP(AD859,TD!$J$70:$K$93,2,0)," ")</f>
        <v>PM/0131/0107/45030020255</v>
      </c>
      <c r="AG859" s="114" t="s">
        <v>385</v>
      </c>
      <c r="AH859" s="175" t="s">
        <v>193</v>
      </c>
      <c r="AI859" s="184" t="str">
        <f>CONCATENATE(PAA[[#This Row],[Id Interno]],"-",PAA[[#This Row],[tipo de Contrato (TH talento humano - B/S bienes y/o servicios)]],"-",S859,"-",T859,"-",PAA[[#This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60" spans="2:35" s="56" customFormat="1" ht="70" x14ac:dyDescent="0.35">
      <c r="B860" s="137">
        <v>20260892</v>
      </c>
      <c r="C860" s="117" t="s">
        <v>1176</v>
      </c>
      <c r="D860" s="125" t="s">
        <v>105</v>
      </c>
      <c r="E860" s="125" t="s">
        <v>363</v>
      </c>
      <c r="F860" s="125" t="s">
        <v>144</v>
      </c>
      <c r="G860" s="126" t="s">
        <v>379</v>
      </c>
      <c r="H860" s="132">
        <v>4</v>
      </c>
      <c r="I860" s="132">
        <v>0</v>
      </c>
      <c r="J860" s="127">
        <v>36800000</v>
      </c>
      <c r="K860" s="128" t="s">
        <v>398</v>
      </c>
      <c r="L860" s="176" t="s">
        <v>154</v>
      </c>
      <c r="M860" s="174" t="s">
        <v>438</v>
      </c>
      <c r="N860" s="125" t="s">
        <v>198</v>
      </c>
      <c r="O860" s="174" t="s">
        <v>887</v>
      </c>
      <c r="P860" s="174" t="s">
        <v>348</v>
      </c>
      <c r="Q860" s="129">
        <v>80111600</v>
      </c>
      <c r="R860" s="174" t="s">
        <v>218</v>
      </c>
      <c r="S860" s="174" t="str">
        <f>MID(PAA[[#This Row],[Meta Proyecto de Inversión]],1,4)</f>
        <v>8173</v>
      </c>
      <c r="T860" s="174" t="str">
        <f>MID(PAA[[#This Row],[Meta Proyecto de Inversión]],6,2)</f>
        <v>9-</v>
      </c>
      <c r="U860" s="179" t="str">
        <f>IFERROR(VLOOKUP(N860,TD!$B$54:$F$58,2,0)," ")</f>
        <v>O230117</v>
      </c>
      <c r="V860" s="179" t="str">
        <f>IFERROR(VLOOKUP(N860,TD!$B$54:$F$58,3,0)," ")</f>
        <v>4503</v>
      </c>
      <c r="W860" s="179">
        <f>IFERROR(VLOOKUP(N860,TD!$B$54:$F$58,4,0)," ")</f>
        <v>20240255</v>
      </c>
      <c r="X860" s="174" t="s">
        <v>172</v>
      </c>
      <c r="Y860" s="172" t="str">
        <f>IFERROR(VLOOKUP(X860,TD!$J$55:$K$68,2,0)," ")</f>
        <v>Servicio de formación en gestión del riesgo de incendios para el personal UAECOB</v>
      </c>
      <c r="Z860" s="180" t="str">
        <f>CONCATENATE(X860,"-",Y860)</f>
        <v>07-Servicio de formación en gestión del riesgo de incendios para el personal UAECOB</v>
      </c>
      <c r="AA860" s="174" t="s">
        <v>222</v>
      </c>
      <c r="AB860" s="172" t="str">
        <f>IFERROR(VLOOKUP(AA860,TD!$N$55:$O$70,2,0)," ")</f>
        <v>Servicio de educación informal</v>
      </c>
      <c r="AC860" s="180" t="str">
        <f>CONCATENATE(AA860,"_",AB860)</f>
        <v>002_Servicio de educación informal</v>
      </c>
      <c r="AD860" s="180" t="str">
        <f>CONCATENATE(Z860," ",AC860)</f>
        <v>07-Servicio de formación en gestión del riesgo de incendios para el personal UAECOB 002_Servicio de educación informal</v>
      </c>
      <c r="AE860" s="179" t="str">
        <f>CONCATENATE(U860,V860,W860,X860,AA860)</f>
        <v>O23011745032024025507002</v>
      </c>
      <c r="AF860" s="172" t="str">
        <f>IFERROR(VLOOKUP(AD860,TD!$J$70:$K$93,2,0)," ")</f>
        <v>PM/0131/0107/45030020255</v>
      </c>
      <c r="AG860" s="114" t="s">
        <v>385</v>
      </c>
      <c r="AH860" s="181" t="s">
        <v>193</v>
      </c>
      <c r="AI860" s="184" t="str">
        <f>CONCATENATE(PAA[[#This Row],[Id Interno]],"-",PAA[[#This Row],[tipo de Contrato (TH talento humano - B/S bienes y/o servicios)]],"-",S860,"-",T860,"-",PAA[[#This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61" spans="2:35" ht="98" x14ac:dyDescent="0.35">
      <c r="B861" s="137">
        <v>20260893</v>
      </c>
      <c r="C861" s="117" t="s">
        <v>1177</v>
      </c>
      <c r="D861" s="125" t="s">
        <v>105</v>
      </c>
      <c r="E861" s="125" t="s">
        <v>363</v>
      </c>
      <c r="F861" s="125" t="s">
        <v>144</v>
      </c>
      <c r="G861" s="126" t="s">
        <v>380</v>
      </c>
      <c r="H861" s="132">
        <v>3</v>
      </c>
      <c r="I861" s="132">
        <v>0</v>
      </c>
      <c r="J861" s="127">
        <v>16500000</v>
      </c>
      <c r="K861" s="128" t="s">
        <v>398</v>
      </c>
      <c r="L861" s="176" t="s">
        <v>154</v>
      </c>
      <c r="M861" s="174" t="s">
        <v>438</v>
      </c>
      <c r="N861" s="125" t="s">
        <v>198</v>
      </c>
      <c r="O861" s="174" t="s">
        <v>887</v>
      </c>
      <c r="P861" s="174" t="s">
        <v>348</v>
      </c>
      <c r="Q861" s="129">
        <v>80111600</v>
      </c>
      <c r="R861" s="174" t="s">
        <v>218</v>
      </c>
      <c r="S861" s="174" t="str">
        <f>MID(PAA[[#This Row],[Meta Proyecto de Inversión]],1,4)</f>
        <v>8173</v>
      </c>
      <c r="T861" s="174" t="str">
        <f>MID(PAA[[#This Row],[Meta Proyecto de Inversión]],6,2)</f>
        <v>9-</v>
      </c>
      <c r="U861" s="179" t="str">
        <f>IFERROR(VLOOKUP(N861,TD!$B$54:$F$58,2,0)," ")</f>
        <v>O230117</v>
      </c>
      <c r="V861" s="179" t="str">
        <f>IFERROR(VLOOKUP(N861,TD!$B$54:$F$58,3,0)," ")</f>
        <v>4503</v>
      </c>
      <c r="W861" s="179">
        <f>IFERROR(VLOOKUP(N861,TD!$B$54:$F$58,4,0)," ")</f>
        <v>20240255</v>
      </c>
      <c r="X861" s="174" t="s">
        <v>172</v>
      </c>
      <c r="Y861" s="172" t="str">
        <f>IFERROR(VLOOKUP(X861,TD!$J$55:$K$68,2,0)," ")</f>
        <v>Servicio de formación en gestión del riesgo de incendios para el personal UAECOB</v>
      </c>
      <c r="Z861" s="180" t="str">
        <f>CONCATENATE(X861,"-",Y861)</f>
        <v>07-Servicio de formación en gestión del riesgo de incendios para el personal UAECOB</v>
      </c>
      <c r="AA861" s="174" t="s">
        <v>222</v>
      </c>
      <c r="AB861" s="172" t="str">
        <f>IFERROR(VLOOKUP(AA861,TD!$N$55:$O$70,2,0)," ")</f>
        <v>Servicio de educación informal</v>
      </c>
      <c r="AC861" s="180" t="str">
        <f>CONCATENATE(AA861,"_",AB861)</f>
        <v>002_Servicio de educación informal</v>
      </c>
      <c r="AD861" s="180" t="str">
        <f>CONCATENATE(Z861," ",AC861)</f>
        <v>07-Servicio de formación en gestión del riesgo de incendios para el personal UAECOB 002_Servicio de educación informal</v>
      </c>
      <c r="AE861" s="179" t="str">
        <f>CONCATENATE(U861,V861,W861,X861,AA861)</f>
        <v>O23011745032024025507002</v>
      </c>
      <c r="AF861" s="172" t="str">
        <f>IFERROR(VLOOKUP(AD861,TD!$J$70:$K$93,2,0)," ")</f>
        <v>PM/0131/0107/45030020255</v>
      </c>
      <c r="AG861" s="130" t="s">
        <v>385</v>
      </c>
      <c r="AH861" s="181" t="s">
        <v>194</v>
      </c>
      <c r="AI861" s="184" t="str">
        <f>CONCATENATE(PAA[[#This Row],[Id Interno]],"-",PAA[[#This Row],[tipo de Contrato (TH talento humano - B/S bienes y/o servicios)]],"-",S861,"-",T861,"-",PAA[[#This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62" spans="2:35" ht="84" x14ac:dyDescent="0.35">
      <c r="B862" s="143">
        <v>20260894</v>
      </c>
      <c r="C862" s="97" t="s">
        <v>1178</v>
      </c>
      <c r="D862" s="23" t="s">
        <v>105</v>
      </c>
      <c r="E862" s="23" t="s">
        <v>363</v>
      </c>
      <c r="F862" s="23" t="s">
        <v>144</v>
      </c>
      <c r="G862" s="124" t="s">
        <v>380</v>
      </c>
      <c r="H862" s="131">
        <v>3</v>
      </c>
      <c r="I862" s="131">
        <v>0</v>
      </c>
      <c r="J862" s="122">
        <v>22500000</v>
      </c>
      <c r="K862" s="88" t="s">
        <v>398</v>
      </c>
      <c r="L862" s="163" t="s">
        <v>154</v>
      </c>
      <c r="M862" s="166" t="s">
        <v>438</v>
      </c>
      <c r="N862" s="23" t="s">
        <v>198</v>
      </c>
      <c r="O862" s="166" t="s">
        <v>887</v>
      </c>
      <c r="P862" s="166" t="s">
        <v>348</v>
      </c>
      <c r="Q862" s="53">
        <v>80111600</v>
      </c>
      <c r="R862" s="166" t="s">
        <v>218</v>
      </c>
      <c r="S862" s="166" t="str">
        <f>MID(PAA[[#This Row],[Meta Proyecto de Inversión]],1,4)</f>
        <v>8173</v>
      </c>
      <c r="T862" s="166" t="str">
        <f>MID(PAA[[#This Row],[Meta Proyecto de Inversión]],6,2)</f>
        <v>9-</v>
      </c>
      <c r="U862" s="167" t="str">
        <f>IFERROR(VLOOKUP(N862,TD!$B$54:$F$58,2,0)," ")</f>
        <v>O230117</v>
      </c>
      <c r="V862" s="167" t="str">
        <f>IFERROR(VLOOKUP(N862,TD!$B$54:$F$58,3,0)," ")</f>
        <v>4503</v>
      </c>
      <c r="W862" s="167">
        <f>IFERROR(VLOOKUP(N862,TD!$B$54:$F$58,4,0)," ")</f>
        <v>20240255</v>
      </c>
      <c r="X862" s="166" t="s">
        <v>172</v>
      </c>
      <c r="Y862" s="172" t="str">
        <f>IFERROR(VLOOKUP(X862,TD!$J$55:$K$68,2,0)," ")</f>
        <v>Servicio de formación en gestión del riesgo de incendios para el personal UAECOB</v>
      </c>
      <c r="Z862" s="168" t="str">
        <f>CONCATENATE(X862,"-",Y862)</f>
        <v>07-Servicio de formación en gestión del riesgo de incendios para el personal UAECOB</v>
      </c>
      <c r="AA862" s="174" t="s">
        <v>222</v>
      </c>
      <c r="AB862" s="172" t="str">
        <f>IFERROR(VLOOKUP(AA862,TD!$N$55:$O$70,2,0)," ")</f>
        <v>Servicio de educación informal</v>
      </c>
      <c r="AC862" s="168" t="str">
        <f>CONCATENATE(AA862,"_",AB862)</f>
        <v>002_Servicio de educación informal</v>
      </c>
      <c r="AD862" s="168" t="str">
        <f>CONCATENATE(Z862," ",AC862)</f>
        <v>07-Servicio de formación en gestión del riesgo de incendios para el personal UAECOB 002_Servicio de educación informal</v>
      </c>
      <c r="AE862" s="167" t="str">
        <f>CONCATENATE(U862,V862,W862,X862,AA862)</f>
        <v>O23011745032024025507002</v>
      </c>
      <c r="AF862" s="172" t="str">
        <f>IFERROR(VLOOKUP(AD862,TD!$J$70:$K$93,2,0)," ")</f>
        <v>PM/0131/0107/45030020255</v>
      </c>
      <c r="AG862" s="114" t="s">
        <v>385</v>
      </c>
      <c r="AH862" s="175" t="s">
        <v>194</v>
      </c>
      <c r="AI862" s="184" t="str">
        <f>CONCATENATE(PAA[[#This Row],[Id Interno]],"-",PAA[[#This Row],[tipo de Contrato (TH talento humano - B/S bienes y/o servicios)]],"-",S862,"-",T862,"-",PAA[[#This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63" spans="2:35" ht="84" x14ac:dyDescent="0.35">
      <c r="B863" s="143">
        <v>20260895</v>
      </c>
      <c r="C863" s="97" t="s">
        <v>1179</v>
      </c>
      <c r="D863" s="23" t="s">
        <v>105</v>
      </c>
      <c r="E863" s="23" t="s">
        <v>363</v>
      </c>
      <c r="F863" s="23" t="s">
        <v>144</v>
      </c>
      <c r="G863" s="124" t="s">
        <v>381</v>
      </c>
      <c r="H863" s="131">
        <v>4</v>
      </c>
      <c r="I863" s="131">
        <v>0</v>
      </c>
      <c r="J863" s="122">
        <v>20800000</v>
      </c>
      <c r="K863" s="88" t="s">
        <v>398</v>
      </c>
      <c r="L863" s="163" t="s">
        <v>154</v>
      </c>
      <c r="M863" s="166" t="s">
        <v>438</v>
      </c>
      <c r="N863" s="23" t="s">
        <v>198</v>
      </c>
      <c r="O863" s="166" t="s">
        <v>887</v>
      </c>
      <c r="P863" s="166" t="s">
        <v>348</v>
      </c>
      <c r="Q863" s="53">
        <v>80111600</v>
      </c>
      <c r="R863" s="166" t="s">
        <v>218</v>
      </c>
      <c r="S863" s="166" t="str">
        <f>MID(PAA[[#This Row],[Meta Proyecto de Inversión]],1,4)</f>
        <v>8173</v>
      </c>
      <c r="T863" s="166" t="str">
        <f>MID(PAA[[#This Row],[Meta Proyecto de Inversión]],6,2)</f>
        <v>9-</v>
      </c>
      <c r="U863" s="167" t="str">
        <f>IFERROR(VLOOKUP(N863,TD!$B$54:$F$58,2,0)," ")</f>
        <v>O230117</v>
      </c>
      <c r="V863" s="167" t="str">
        <f>IFERROR(VLOOKUP(N863,TD!$B$54:$F$58,3,0)," ")</f>
        <v>4503</v>
      </c>
      <c r="W863" s="167">
        <f>IFERROR(VLOOKUP(N863,TD!$B$54:$F$58,4,0)," ")</f>
        <v>20240255</v>
      </c>
      <c r="X863" s="166" t="s">
        <v>172</v>
      </c>
      <c r="Y863" s="172" t="str">
        <f>IFERROR(VLOOKUP(X863,TD!$J$55:$K$68,2,0)," ")</f>
        <v>Servicio de formación en gestión del riesgo de incendios para el personal UAECOB</v>
      </c>
      <c r="Z863" s="168" t="str">
        <f>CONCATENATE(X863,"-",Y863)</f>
        <v>07-Servicio de formación en gestión del riesgo de incendios para el personal UAECOB</v>
      </c>
      <c r="AA863" s="174" t="s">
        <v>222</v>
      </c>
      <c r="AB863" s="172" t="str">
        <f>IFERROR(VLOOKUP(AA863,TD!$N$55:$O$70,2,0)," ")</f>
        <v>Servicio de educación informal</v>
      </c>
      <c r="AC863" s="168" t="str">
        <f>CONCATENATE(AA863,"_",AB863)</f>
        <v>002_Servicio de educación informal</v>
      </c>
      <c r="AD863" s="168" t="str">
        <f>CONCATENATE(Z863," ",AC863)</f>
        <v>07-Servicio de formación en gestión del riesgo de incendios para el personal UAECOB 002_Servicio de educación informal</v>
      </c>
      <c r="AE863" s="167" t="str">
        <f>CONCATENATE(U863,V863,W863,X863,AA863)</f>
        <v>O23011745032024025507002</v>
      </c>
      <c r="AF863" s="172" t="str">
        <f>IFERROR(VLOOKUP(AD863,TD!$J$70:$K$93,2,0)," ")</f>
        <v>PM/0131/0107/45030020255</v>
      </c>
      <c r="AG863" s="114" t="s">
        <v>385</v>
      </c>
      <c r="AH863" s="181" t="s">
        <v>193</v>
      </c>
      <c r="AI863" s="184" t="str">
        <f>CONCATENATE(PAA[[#This Row],[Id Interno]],"-",PAA[[#This Row],[tipo de Contrato (TH talento humano - B/S bienes y/o servicios)]],"-",S863,"-",T863,"-",PAA[[#This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64" spans="2:35" ht="98" x14ac:dyDescent="0.35">
      <c r="B864" s="143">
        <v>20260896</v>
      </c>
      <c r="C864" s="97" t="s">
        <v>1180</v>
      </c>
      <c r="D864" s="23" t="s">
        <v>105</v>
      </c>
      <c r="E864" s="23" t="s">
        <v>363</v>
      </c>
      <c r="F864" s="23" t="s">
        <v>144</v>
      </c>
      <c r="G864" s="124" t="s">
        <v>380</v>
      </c>
      <c r="H864" s="131">
        <v>4</v>
      </c>
      <c r="I864" s="131">
        <v>0</v>
      </c>
      <c r="J864" s="122">
        <v>23200000</v>
      </c>
      <c r="K864" s="88" t="s">
        <v>398</v>
      </c>
      <c r="L864" s="163" t="s">
        <v>154</v>
      </c>
      <c r="M864" s="166" t="s">
        <v>438</v>
      </c>
      <c r="N864" s="23" t="s">
        <v>198</v>
      </c>
      <c r="O864" s="166" t="s">
        <v>887</v>
      </c>
      <c r="P864" s="166" t="s">
        <v>348</v>
      </c>
      <c r="Q864" s="53">
        <v>80111600</v>
      </c>
      <c r="R864" s="166" t="s">
        <v>218</v>
      </c>
      <c r="S864" s="166" t="str">
        <f>MID(PAA[[#This Row],[Meta Proyecto de Inversión]],1,4)</f>
        <v>8173</v>
      </c>
      <c r="T864" s="166" t="str">
        <f>MID(PAA[[#This Row],[Meta Proyecto de Inversión]],6,2)</f>
        <v>9-</v>
      </c>
      <c r="U864" s="167" t="str">
        <f>IFERROR(VLOOKUP(N864,TD!$B$54:$F$58,2,0)," ")</f>
        <v>O230117</v>
      </c>
      <c r="V864" s="167" t="str">
        <f>IFERROR(VLOOKUP(N864,TD!$B$54:$F$58,3,0)," ")</f>
        <v>4503</v>
      </c>
      <c r="W864" s="167">
        <f>IFERROR(VLOOKUP(N864,TD!$B$54:$F$58,4,0)," ")</f>
        <v>20240255</v>
      </c>
      <c r="X864" s="166" t="s">
        <v>172</v>
      </c>
      <c r="Y864" s="172" t="str">
        <f>IFERROR(VLOOKUP(X864,TD!$J$55:$K$68,2,0)," ")</f>
        <v>Servicio de formación en gestión del riesgo de incendios para el personal UAECOB</v>
      </c>
      <c r="Z864" s="168" t="str">
        <f>CONCATENATE(X864,"-",Y864)</f>
        <v>07-Servicio de formación en gestión del riesgo de incendios para el personal UAECOB</v>
      </c>
      <c r="AA864" s="174" t="s">
        <v>222</v>
      </c>
      <c r="AB864" s="172" t="str">
        <f>IFERROR(VLOOKUP(AA864,TD!$N$55:$O$70,2,0)," ")</f>
        <v>Servicio de educación informal</v>
      </c>
      <c r="AC864" s="168" t="str">
        <f>CONCATENATE(AA864,"_",AB864)</f>
        <v>002_Servicio de educación informal</v>
      </c>
      <c r="AD864" s="168" t="str">
        <f>CONCATENATE(Z864," ",AC864)</f>
        <v>07-Servicio de formación en gestión del riesgo de incendios para el personal UAECOB 002_Servicio de educación informal</v>
      </c>
      <c r="AE864" s="167" t="str">
        <f>CONCATENATE(U864,V864,W864,X864,AA864)</f>
        <v>O23011745032024025507002</v>
      </c>
      <c r="AF864" s="172" t="str">
        <f>IFERROR(VLOOKUP(AD864,TD!$J$70:$K$93,2,0)," ")</f>
        <v>PM/0131/0107/45030020255</v>
      </c>
      <c r="AG864" s="114" t="s">
        <v>385</v>
      </c>
      <c r="AH864" s="181" t="s">
        <v>193</v>
      </c>
      <c r="AI864" s="184" t="str">
        <f>CONCATENATE(PAA[[#This Row],[Id Interno]],"-",PAA[[#This Row],[tipo de Contrato (TH talento humano - B/S bienes y/o servicios)]],"-",S864,"-",T864,"-",PAA[[#This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65" spans="2:35" ht="112" x14ac:dyDescent="0.35">
      <c r="B865" s="143">
        <v>20260897</v>
      </c>
      <c r="C865" s="97" t="s">
        <v>1181</v>
      </c>
      <c r="D865" s="23" t="s">
        <v>105</v>
      </c>
      <c r="E865" s="23" t="s">
        <v>363</v>
      </c>
      <c r="F865" s="23" t="s">
        <v>144</v>
      </c>
      <c r="G865" s="124" t="s">
        <v>380</v>
      </c>
      <c r="H865" s="131">
        <v>3</v>
      </c>
      <c r="I865" s="131">
        <v>0</v>
      </c>
      <c r="J865" s="122">
        <v>14700000</v>
      </c>
      <c r="K865" s="88" t="s">
        <v>398</v>
      </c>
      <c r="L865" s="163" t="s">
        <v>154</v>
      </c>
      <c r="M865" s="166" t="s">
        <v>438</v>
      </c>
      <c r="N865" s="23" t="s">
        <v>198</v>
      </c>
      <c r="O865" s="166" t="s">
        <v>887</v>
      </c>
      <c r="P865" s="166" t="s">
        <v>348</v>
      </c>
      <c r="Q865" s="53">
        <v>80111600</v>
      </c>
      <c r="R865" s="166" t="s">
        <v>218</v>
      </c>
      <c r="S865" s="166" t="str">
        <f>MID(PAA[[#This Row],[Meta Proyecto de Inversión]],1,4)</f>
        <v>8173</v>
      </c>
      <c r="T865" s="166" t="str">
        <f>MID(PAA[[#This Row],[Meta Proyecto de Inversión]],6,2)</f>
        <v>9-</v>
      </c>
      <c r="U865" s="167" t="str">
        <f>IFERROR(VLOOKUP(N865,TD!$B$54:$F$58,2,0)," ")</f>
        <v>O230117</v>
      </c>
      <c r="V865" s="167" t="str">
        <f>IFERROR(VLOOKUP(N865,TD!$B$54:$F$58,3,0)," ")</f>
        <v>4503</v>
      </c>
      <c r="W865" s="167">
        <f>IFERROR(VLOOKUP(N865,TD!$B$54:$F$58,4,0)," ")</f>
        <v>20240255</v>
      </c>
      <c r="X865" s="166" t="s">
        <v>172</v>
      </c>
      <c r="Y865" s="172" t="str">
        <f>IFERROR(VLOOKUP(X865,TD!$J$55:$K$68,2,0)," ")</f>
        <v>Servicio de formación en gestión del riesgo de incendios para el personal UAECOB</v>
      </c>
      <c r="Z865" s="168" t="str">
        <f>CONCATENATE(X865,"-",Y865)</f>
        <v>07-Servicio de formación en gestión del riesgo de incendios para el personal UAECOB</v>
      </c>
      <c r="AA865" s="174" t="s">
        <v>222</v>
      </c>
      <c r="AB865" s="172" t="str">
        <f>IFERROR(VLOOKUP(AA865,TD!$N$55:$O$70,2,0)," ")</f>
        <v>Servicio de educación informal</v>
      </c>
      <c r="AC865" s="168" t="str">
        <f>CONCATENATE(AA865,"_",AB865)</f>
        <v>002_Servicio de educación informal</v>
      </c>
      <c r="AD865" s="168" t="str">
        <f>CONCATENATE(Z865," ",AC865)</f>
        <v>07-Servicio de formación en gestión del riesgo de incendios para el personal UAECOB 002_Servicio de educación informal</v>
      </c>
      <c r="AE865" s="167" t="str">
        <f>CONCATENATE(U865,V865,W865,X865,AA865)</f>
        <v>O23011745032024025507002</v>
      </c>
      <c r="AF865" s="172" t="str">
        <f>IFERROR(VLOOKUP(AD865,TD!$J$70:$K$93,2,0)," ")</f>
        <v>PM/0131/0107/45030020255</v>
      </c>
      <c r="AG865" s="114" t="s">
        <v>385</v>
      </c>
      <c r="AH865" s="181" t="s">
        <v>193</v>
      </c>
      <c r="AI865" s="184" t="str">
        <f>CONCATENATE(PAA[[#This Row],[Id Interno]],"-",PAA[[#This Row],[tipo de Contrato (TH talento humano - B/S bienes y/o servicios)]],"-",S865,"-",T865,"-",PAA[[#This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66" spans="2:35" ht="84" x14ac:dyDescent="0.35">
      <c r="B866" s="143">
        <v>20260898</v>
      </c>
      <c r="C866" s="97" t="s">
        <v>1182</v>
      </c>
      <c r="D866" s="23" t="s">
        <v>105</v>
      </c>
      <c r="E866" s="23" t="s">
        <v>363</v>
      </c>
      <c r="F866" s="23" t="s">
        <v>144</v>
      </c>
      <c r="G866" s="124" t="s">
        <v>380</v>
      </c>
      <c r="H866" s="131">
        <v>3</v>
      </c>
      <c r="I866" s="131">
        <v>0</v>
      </c>
      <c r="J866" s="122">
        <v>12000000</v>
      </c>
      <c r="K866" s="88" t="s">
        <v>398</v>
      </c>
      <c r="L866" s="163" t="s">
        <v>154</v>
      </c>
      <c r="M866" s="166" t="s">
        <v>438</v>
      </c>
      <c r="N866" s="23" t="s">
        <v>198</v>
      </c>
      <c r="O866" s="166" t="s">
        <v>887</v>
      </c>
      <c r="P866" s="166" t="s">
        <v>348</v>
      </c>
      <c r="Q866" s="53">
        <v>80111600</v>
      </c>
      <c r="R866" s="166" t="s">
        <v>218</v>
      </c>
      <c r="S866" s="166" t="str">
        <f>MID(PAA[[#This Row],[Meta Proyecto de Inversión]],1,4)</f>
        <v>8173</v>
      </c>
      <c r="T866" s="166" t="str">
        <f>MID(PAA[[#This Row],[Meta Proyecto de Inversión]],6,2)</f>
        <v>9-</v>
      </c>
      <c r="U866" s="167" t="str">
        <f>IFERROR(VLOOKUP(N866,TD!$B$54:$F$58,2,0)," ")</f>
        <v>O230117</v>
      </c>
      <c r="V866" s="167" t="str">
        <f>IFERROR(VLOOKUP(N866,TD!$B$54:$F$58,3,0)," ")</f>
        <v>4503</v>
      </c>
      <c r="W866" s="167">
        <f>IFERROR(VLOOKUP(N866,TD!$B$54:$F$58,4,0)," ")</f>
        <v>20240255</v>
      </c>
      <c r="X866" s="166" t="s">
        <v>172</v>
      </c>
      <c r="Y866" s="172" t="str">
        <f>IFERROR(VLOOKUP(X866,TD!$J$55:$K$68,2,0)," ")</f>
        <v>Servicio de formación en gestión del riesgo de incendios para el personal UAECOB</v>
      </c>
      <c r="Z866" s="168" t="str">
        <f>CONCATENATE(X866,"-",Y866)</f>
        <v>07-Servicio de formación en gestión del riesgo de incendios para el personal UAECOB</v>
      </c>
      <c r="AA866" s="174" t="s">
        <v>222</v>
      </c>
      <c r="AB866" s="172" t="str">
        <f>IFERROR(VLOOKUP(AA866,TD!$N$55:$O$70,2,0)," ")</f>
        <v>Servicio de educación informal</v>
      </c>
      <c r="AC866" s="168" t="str">
        <f>CONCATENATE(AA866,"_",AB866)</f>
        <v>002_Servicio de educación informal</v>
      </c>
      <c r="AD866" s="168" t="str">
        <f>CONCATENATE(Z866," ",AC866)</f>
        <v>07-Servicio de formación en gestión del riesgo de incendios para el personal UAECOB 002_Servicio de educación informal</v>
      </c>
      <c r="AE866" s="167" t="str">
        <f>CONCATENATE(U866,V866,W866,X866,AA866)</f>
        <v>O23011745032024025507002</v>
      </c>
      <c r="AF866" s="172" t="str">
        <f>IFERROR(VLOOKUP(AD866,TD!$J$70:$K$93,2,0)," ")</f>
        <v>PM/0131/0107/45030020255</v>
      </c>
      <c r="AG866" s="114" t="s">
        <v>385</v>
      </c>
      <c r="AH866" s="181" t="s">
        <v>193</v>
      </c>
      <c r="AI866" s="184" t="str">
        <f>CONCATENATE(PAA[[#This Row],[Id Interno]],"-",PAA[[#This Row],[tipo de Contrato (TH talento humano - B/S bienes y/o servicios)]],"-",S866,"-",T866,"-",PAA[[#This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67" spans="2:35" ht="84" x14ac:dyDescent="0.35">
      <c r="B867" s="143">
        <v>20260899</v>
      </c>
      <c r="C867" s="97" t="s">
        <v>1183</v>
      </c>
      <c r="D867" s="23" t="s">
        <v>105</v>
      </c>
      <c r="E867" s="23" t="s">
        <v>363</v>
      </c>
      <c r="F867" s="23" t="s">
        <v>144</v>
      </c>
      <c r="G867" s="124" t="s">
        <v>380</v>
      </c>
      <c r="H867" s="131">
        <v>4</v>
      </c>
      <c r="I867" s="131">
        <v>0</v>
      </c>
      <c r="J867" s="122">
        <v>21600000</v>
      </c>
      <c r="K867" s="88" t="s">
        <v>398</v>
      </c>
      <c r="L867" s="163" t="s">
        <v>154</v>
      </c>
      <c r="M867" s="166" t="s">
        <v>438</v>
      </c>
      <c r="N867" s="23" t="s">
        <v>198</v>
      </c>
      <c r="O867" s="166" t="s">
        <v>887</v>
      </c>
      <c r="P867" s="166" t="s">
        <v>348</v>
      </c>
      <c r="Q867" s="53">
        <v>80111600</v>
      </c>
      <c r="R867" s="166" t="s">
        <v>218</v>
      </c>
      <c r="S867" s="166" t="str">
        <f>MID(PAA[[#This Row],[Meta Proyecto de Inversión]],1,4)</f>
        <v>8173</v>
      </c>
      <c r="T867" s="166" t="str">
        <f>MID(PAA[[#This Row],[Meta Proyecto de Inversión]],6,2)</f>
        <v>9-</v>
      </c>
      <c r="U867" s="167" t="str">
        <f>IFERROR(VLOOKUP(N867,TD!$B$54:$F$58,2,0)," ")</f>
        <v>O230117</v>
      </c>
      <c r="V867" s="167" t="str">
        <f>IFERROR(VLOOKUP(N867,TD!$B$54:$F$58,3,0)," ")</f>
        <v>4503</v>
      </c>
      <c r="W867" s="167">
        <f>IFERROR(VLOOKUP(N867,TD!$B$54:$F$58,4,0)," ")</f>
        <v>20240255</v>
      </c>
      <c r="X867" s="166" t="s">
        <v>172</v>
      </c>
      <c r="Y867" s="172" t="str">
        <f>IFERROR(VLOOKUP(X867,TD!$J$55:$K$68,2,0)," ")</f>
        <v>Servicio de formación en gestión del riesgo de incendios para el personal UAECOB</v>
      </c>
      <c r="Z867" s="168" t="str">
        <f>CONCATENATE(X867,"-",Y867)</f>
        <v>07-Servicio de formación en gestión del riesgo de incendios para el personal UAECOB</v>
      </c>
      <c r="AA867" s="174" t="s">
        <v>222</v>
      </c>
      <c r="AB867" s="172" t="str">
        <f>IFERROR(VLOOKUP(AA867,TD!$N$55:$O$70,2,0)," ")</f>
        <v>Servicio de educación informal</v>
      </c>
      <c r="AC867" s="168" t="str">
        <f>CONCATENATE(AA867,"_",AB867)</f>
        <v>002_Servicio de educación informal</v>
      </c>
      <c r="AD867" s="168" t="str">
        <f>CONCATENATE(Z867," ",AC867)</f>
        <v>07-Servicio de formación en gestión del riesgo de incendios para el personal UAECOB 002_Servicio de educación informal</v>
      </c>
      <c r="AE867" s="167" t="str">
        <f>CONCATENATE(U867,V867,W867,X867,AA867)</f>
        <v>O23011745032024025507002</v>
      </c>
      <c r="AF867" s="172" t="str">
        <f>IFERROR(VLOOKUP(AD867,TD!$J$70:$K$93,2,0)," ")</f>
        <v>PM/0131/0107/45030020255</v>
      </c>
      <c r="AG867" s="114" t="s">
        <v>385</v>
      </c>
      <c r="AH867" s="181" t="s">
        <v>193</v>
      </c>
      <c r="AI867" s="184" t="str">
        <f>CONCATENATE(PAA[[#This Row],[Id Interno]],"-",PAA[[#This Row],[tipo de Contrato (TH talento humano - B/S bienes y/o servicios)]],"-",S867,"-",T867,"-",PAA[[#This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68" spans="2:35" ht="98" x14ac:dyDescent="0.35">
      <c r="B868" s="143">
        <v>20260900</v>
      </c>
      <c r="C868" s="97" t="s">
        <v>1184</v>
      </c>
      <c r="D868" s="23" t="s">
        <v>105</v>
      </c>
      <c r="E868" s="23" t="s">
        <v>363</v>
      </c>
      <c r="F868" s="23" t="s">
        <v>144</v>
      </c>
      <c r="G868" s="124" t="s">
        <v>380</v>
      </c>
      <c r="H868" s="131">
        <v>4</v>
      </c>
      <c r="I868" s="131">
        <v>0</v>
      </c>
      <c r="J868" s="122">
        <v>35600000</v>
      </c>
      <c r="K868" s="88" t="s">
        <v>398</v>
      </c>
      <c r="L868" s="163" t="s">
        <v>154</v>
      </c>
      <c r="M868" s="166" t="s">
        <v>438</v>
      </c>
      <c r="N868" s="23" t="s">
        <v>198</v>
      </c>
      <c r="O868" s="166" t="s">
        <v>887</v>
      </c>
      <c r="P868" s="166" t="s">
        <v>348</v>
      </c>
      <c r="Q868" s="53">
        <v>80111600</v>
      </c>
      <c r="R868" s="166" t="s">
        <v>218</v>
      </c>
      <c r="S868" s="166" t="str">
        <f>MID(PAA[[#This Row],[Meta Proyecto de Inversión]],1,4)</f>
        <v>8173</v>
      </c>
      <c r="T868" s="166" t="str">
        <f>MID(PAA[[#This Row],[Meta Proyecto de Inversión]],6,2)</f>
        <v>9-</v>
      </c>
      <c r="U868" s="167" t="str">
        <f>IFERROR(VLOOKUP(N868,TD!$B$54:$F$58,2,0)," ")</f>
        <v>O230117</v>
      </c>
      <c r="V868" s="167" t="str">
        <f>IFERROR(VLOOKUP(N868,TD!$B$54:$F$58,3,0)," ")</f>
        <v>4503</v>
      </c>
      <c r="W868" s="167">
        <f>IFERROR(VLOOKUP(N868,TD!$B$54:$F$58,4,0)," ")</f>
        <v>20240255</v>
      </c>
      <c r="X868" s="166" t="s">
        <v>172</v>
      </c>
      <c r="Y868" s="172" t="str">
        <f>IFERROR(VLOOKUP(X868,TD!$J$55:$K$68,2,0)," ")</f>
        <v>Servicio de formación en gestión del riesgo de incendios para el personal UAECOB</v>
      </c>
      <c r="Z868" s="168" t="str">
        <f>CONCATENATE(X868,"-",Y868)</f>
        <v>07-Servicio de formación en gestión del riesgo de incendios para el personal UAECOB</v>
      </c>
      <c r="AA868" s="174" t="s">
        <v>222</v>
      </c>
      <c r="AB868" s="172" t="str">
        <f>IFERROR(VLOOKUP(AA868,TD!$N$55:$O$70,2,0)," ")</f>
        <v>Servicio de educación informal</v>
      </c>
      <c r="AC868" s="168" t="str">
        <f>CONCATENATE(AA868,"_",AB868)</f>
        <v>002_Servicio de educación informal</v>
      </c>
      <c r="AD868" s="168" t="str">
        <f>CONCATENATE(Z868," ",AC868)</f>
        <v>07-Servicio de formación en gestión del riesgo de incendios para el personal UAECOB 002_Servicio de educación informal</v>
      </c>
      <c r="AE868" s="167" t="str">
        <f>CONCATENATE(U868,V868,W868,X868,AA868)</f>
        <v>O23011745032024025507002</v>
      </c>
      <c r="AF868" s="172" t="str">
        <f>IFERROR(VLOOKUP(AD868,TD!$J$70:$K$93,2,0)," ")</f>
        <v>PM/0131/0107/45030020255</v>
      </c>
      <c r="AG868" s="114" t="s">
        <v>385</v>
      </c>
      <c r="AH868" s="181" t="s">
        <v>193</v>
      </c>
      <c r="AI868" s="184" t="str">
        <f>CONCATENATE(PAA[[#This Row],[Id Interno]],"-",PAA[[#This Row],[tipo de Contrato (TH talento humano - B/S bienes y/o servicios)]],"-",S868,"-",T868,"-",PAA[[#This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69" spans="2:35" ht="84" x14ac:dyDescent="0.35">
      <c r="B869" s="143">
        <v>20260901</v>
      </c>
      <c r="C869" s="97" t="s">
        <v>1238</v>
      </c>
      <c r="D869" s="23" t="s">
        <v>105</v>
      </c>
      <c r="E869" s="23" t="s">
        <v>363</v>
      </c>
      <c r="F869" s="23" t="s">
        <v>144</v>
      </c>
      <c r="G869" s="124" t="s">
        <v>380</v>
      </c>
      <c r="H869" s="131">
        <v>3</v>
      </c>
      <c r="I869" s="131">
        <v>0</v>
      </c>
      <c r="J869" s="122">
        <v>21600000</v>
      </c>
      <c r="K869" s="88" t="s">
        <v>398</v>
      </c>
      <c r="L869" s="163" t="s">
        <v>154</v>
      </c>
      <c r="M869" s="166" t="s">
        <v>438</v>
      </c>
      <c r="N869" s="23" t="s">
        <v>198</v>
      </c>
      <c r="O869" s="166" t="s">
        <v>887</v>
      </c>
      <c r="P869" s="166" t="s">
        <v>348</v>
      </c>
      <c r="Q869" s="53">
        <v>80111600</v>
      </c>
      <c r="R869" s="166" t="s">
        <v>218</v>
      </c>
      <c r="S869" s="166" t="str">
        <f>MID(PAA[[#This Row],[Meta Proyecto de Inversión]],1,4)</f>
        <v>8173</v>
      </c>
      <c r="T869" s="166" t="str">
        <f>MID(PAA[[#This Row],[Meta Proyecto de Inversión]],6,2)</f>
        <v>9-</v>
      </c>
      <c r="U869" s="167" t="str">
        <f>IFERROR(VLOOKUP(N869,TD!$B$54:$F$58,2,0)," ")</f>
        <v>O230117</v>
      </c>
      <c r="V869" s="167" t="str">
        <f>IFERROR(VLOOKUP(N869,TD!$B$54:$F$58,3,0)," ")</f>
        <v>4503</v>
      </c>
      <c r="W869" s="167">
        <f>IFERROR(VLOOKUP(N869,TD!$B$54:$F$58,4,0)," ")</f>
        <v>20240255</v>
      </c>
      <c r="X869" s="166" t="s">
        <v>172</v>
      </c>
      <c r="Y869" s="172" t="str">
        <f>IFERROR(VLOOKUP(X869,TD!$J$55:$K$68,2,0)," ")</f>
        <v>Servicio de formación en gestión del riesgo de incendios para el personal UAECOB</v>
      </c>
      <c r="Z869" s="168" t="str">
        <f>CONCATENATE(X869,"-",Y869)</f>
        <v>07-Servicio de formación en gestión del riesgo de incendios para el personal UAECOB</v>
      </c>
      <c r="AA869" s="174" t="s">
        <v>222</v>
      </c>
      <c r="AB869" s="172" t="str">
        <f>IFERROR(VLOOKUP(AA869,TD!$N$55:$O$70,2,0)," ")</f>
        <v>Servicio de educación informal</v>
      </c>
      <c r="AC869" s="168" t="str">
        <f>CONCATENATE(AA869,"_",AB869)</f>
        <v>002_Servicio de educación informal</v>
      </c>
      <c r="AD869" s="168" t="str">
        <f>CONCATENATE(Z869," ",AC869)</f>
        <v>07-Servicio de formación en gestión del riesgo de incendios para el personal UAECOB 002_Servicio de educación informal</v>
      </c>
      <c r="AE869" s="167" t="str">
        <f>CONCATENATE(U869,V869,W869,X869,AA869)</f>
        <v>O23011745032024025507002</v>
      </c>
      <c r="AF869" s="172" t="str">
        <f>IFERROR(VLOOKUP(AD869,TD!$J$70:$K$93,2,0)," ")</f>
        <v>PM/0131/0107/45030020255</v>
      </c>
      <c r="AG869" s="114" t="s">
        <v>385</v>
      </c>
      <c r="AH869" s="181" t="s">
        <v>193</v>
      </c>
      <c r="AI869" s="184" t="str">
        <f>CONCATENATE(PAA[[#This Row],[Id Interno]],"-",PAA[[#This Row],[tipo de Contrato (TH talento humano - B/S bienes y/o servicios)]],"-",S869,"-",T869,"-",PAA[[#This Row],[Objeto de la contratación]])</f>
        <v>20260901-TH-8173-9--SGH - Prestar servicios profesionales a la Subdirección de Gestión Humana para apoyar el desarrollo y seguimiento de las actividades relacionadas con el rediseño institucional y el desarrollo organizacional, así como la gestión y acompañamiento técnico de los trámites asociados al reconocimiento y pago de gastos de desplazamiento y viaje del personal contratista, de conformidad con los procedimientos y disposiciones aplicables.</v>
      </c>
    </row>
    <row r="870" spans="2:35" ht="98" x14ac:dyDescent="0.35">
      <c r="B870" s="137">
        <v>20260902</v>
      </c>
      <c r="C870" s="97" t="s">
        <v>1185</v>
      </c>
      <c r="D870" s="23" t="s">
        <v>105</v>
      </c>
      <c r="E870" s="23" t="s">
        <v>363</v>
      </c>
      <c r="F870" s="23" t="s">
        <v>144</v>
      </c>
      <c r="G870" s="124" t="s">
        <v>380</v>
      </c>
      <c r="H870" s="131">
        <v>4</v>
      </c>
      <c r="I870" s="131">
        <v>0</v>
      </c>
      <c r="J870" s="122">
        <v>26100000</v>
      </c>
      <c r="K870" s="88" t="s">
        <v>398</v>
      </c>
      <c r="L870" s="163" t="s">
        <v>154</v>
      </c>
      <c r="M870" s="166" t="s">
        <v>438</v>
      </c>
      <c r="N870" s="23" t="s">
        <v>198</v>
      </c>
      <c r="O870" s="166" t="s">
        <v>887</v>
      </c>
      <c r="P870" s="166" t="s">
        <v>348</v>
      </c>
      <c r="Q870" s="53">
        <v>80111600</v>
      </c>
      <c r="R870" s="166" t="s">
        <v>218</v>
      </c>
      <c r="S870" s="166" t="str">
        <f>MID(PAA[[#This Row],[Meta Proyecto de Inversión]],1,4)</f>
        <v>8173</v>
      </c>
      <c r="T870" s="166" t="str">
        <f>MID(PAA[[#This Row],[Meta Proyecto de Inversión]],6,2)</f>
        <v>9-</v>
      </c>
      <c r="U870" s="167" t="str">
        <f>IFERROR(VLOOKUP(N870,TD!$B$54:$F$58,2,0)," ")</f>
        <v>O230117</v>
      </c>
      <c r="V870" s="167" t="str">
        <f>IFERROR(VLOOKUP(N870,TD!$B$54:$F$58,3,0)," ")</f>
        <v>4503</v>
      </c>
      <c r="W870" s="167">
        <f>IFERROR(VLOOKUP(N870,TD!$B$54:$F$58,4,0)," ")</f>
        <v>20240255</v>
      </c>
      <c r="X870" s="166" t="s">
        <v>172</v>
      </c>
      <c r="Y870" s="172" t="str">
        <f>IFERROR(VLOOKUP(X870,TD!$J$55:$K$68,2,0)," ")</f>
        <v>Servicio de formación en gestión del riesgo de incendios para el personal UAECOB</v>
      </c>
      <c r="Z870" s="168" t="str">
        <f>CONCATENATE(X870,"-",Y870)</f>
        <v>07-Servicio de formación en gestión del riesgo de incendios para el personal UAECOB</v>
      </c>
      <c r="AA870" s="174" t="s">
        <v>222</v>
      </c>
      <c r="AB870" s="172" t="str">
        <f>IFERROR(VLOOKUP(AA870,TD!$N$55:$O$70,2,0)," ")</f>
        <v>Servicio de educación informal</v>
      </c>
      <c r="AC870" s="168" t="str">
        <f>CONCATENATE(AA870,"_",AB870)</f>
        <v>002_Servicio de educación informal</v>
      </c>
      <c r="AD870" s="168" t="str">
        <f>CONCATENATE(Z870," ",AC870)</f>
        <v>07-Servicio de formación en gestión del riesgo de incendios para el personal UAECOB 002_Servicio de educación informal</v>
      </c>
      <c r="AE870" s="167" t="str">
        <f>CONCATENATE(U870,V870,W870,X870,AA870)</f>
        <v>O23011745032024025507002</v>
      </c>
      <c r="AF870" s="172" t="str">
        <f>IFERROR(VLOOKUP(AD870,TD!$J$70:$K$93,2,0)," ")</f>
        <v>PM/0131/0107/45030020255</v>
      </c>
      <c r="AG870" s="114" t="s">
        <v>385</v>
      </c>
      <c r="AH870" s="175" t="s">
        <v>193</v>
      </c>
      <c r="AI870" s="184" t="str">
        <f>CONCATENATE(PAA[[#This Row],[Id Interno]],"-",PAA[[#This Row],[tipo de Contrato (TH talento humano - B/S bienes y/o servicios)]],"-",S870,"-",T870,"-",PAA[[#This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71" spans="2:35" ht="98" x14ac:dyDescent="0.35">
      <c r="B871" s="143">
        <v>20260903</v>
      </c>
      <c r="C871" s="97" t="s">
        <v>1186</v>
      </c>
      <c r="D871" s="23" t="s">
        <v>105</v>
      </c>
      <c r="E871" s="23" t="s">
        <v>363</v>
      </c>
      <c r="F871" s="23" t="s">
        <v>144</v>
      </c>
      <c r="G871" s="124" t="s">
        <v>380</v>
      </c>
      <c r="H871" s="131">
        <v>4</v>
      </c>
      <c r="I871" s="131">
        <v>0</v>
      </c>
      <c r="J871" s="122">
        <v>15200000</v>
      </c>
      <c r="K871" s="88" t="s">
        <v>398</v>
      </c>
      <c r="L871" s="163" t="s">
        <v>154</v>
      </c>
      <c r="M871" s="166" t="s">
        <v>438</v>
      </c>
      <c r="N871" s="23" t="s">
        <v>198</v>
      </c>
      <c r="O871" s="166" t="s">
        <v>887</v>
      </c>
      <c r="P871" s="166" t="s">
        <v>348</v>
      </c>
      <c r="Q871" s="53">
        <v>80111600</v>
      </c>
      <c r="R871" s="166" t="s">
        <v>218</v>
      </c>
      <c r="S871" s="166" t="str">
        <f>MID(PAA[[#This Row],[Meta Proyecto de Inversión]],1,4)</f>
        <v>8173</v>
      </c>
      <c r="T871" s="166" t="str">
        <f>MID(PAA[[#This Row],[Meta Proyecto de Inversión]],6,2)</f>
        <v>9-</v>
      </c>
      <c r="U871" s="167" t="str">
        <f>IFERROR(VLOOKUP(N871,TD!$B$54:$F$58,2,0)," ")</f>
        <v>O230117</v>
      </c>
      <c r="V871" s="167" t="str">
        <f>IFERROR(VLOOKUP(N871,TD!$B$54:$F$58,3,0)," ")</f>
        <v>4503</v>
      </c>
      <c r="W871" s="167">
        <f>IFERROR(VLOOKUP(N871,TD!$B$54:$F$58,4,0)," ")</f>
        <v>20240255</v>
      </c>
      <c r="X871" s="166" t="s">
        <v>172</v>
      </c>
      <c r="Y871" s="172" t="str">
        <f>IFERROR(VLOOKUP(X871,TD!$J$55:$K$68,2,0)," ")</f>
        <v>Servicio de formación en gestión del riesgo de incendios para el personal UAECOB</v>
      </c>
      <c r="Z871" s="168" t="str">
        <f>CONCATENATE(X871,"-",Y871)</f>
        <v>07-Servicio de formación en gestión del riesgo de incendios para el personal UAECOB</v>
      </c>
      <c r="AA871" s="174" t="s">
        <v>222</v>
      </c>
      <c r="AB871" s="172" t="str">
        <f>IFERROR(VLOOKUP(AA871,TD!$N$55:$O$70,2,0)," ")</f>
        <v>Servicio de educación informal</v>
      </c>
      <c r="AC871" s="168" t="str">
        <f>CONCATENATE(AA871,"_",AB871)</f>
        <v>002_Servicio de educación informal</v>
      </c>
      <c r="AD871" s="168" t="str">
        <f>CONCATENATE(Z871," ",AC871)</f>
        <v>07-Servicio de formación en gestión del riesgo de incendios para el personal UAECOB 002_Servicio de educación informal</v>
      </c>
      <c r="AE871" s="167" t="str">
        <f>CONCATENATE(U871,V871,W871,X871,AA871)</f>
        <v>O23011745032024025507002</v>
      </c>
      <c r="AF871" s="172" t="str">
        <f>IFERROR(VLOOKUP(AD871,TD!$J$70:$K$93,2,0)," ")</f>
        <v>PM/0131/0107/45030020255</v>
      </c>
      <c r="AG871" s="114" t="s">
        <v>385</v>
      </c>
      <c r="AH871" s="175" t="s">
        <v>193</v>
      </c>
      <c r="AI871" s="184" t="str">
        <f>CONCATENATE(PAA[[#This Row],[Id Interno]],"-",PAA[[#This Row],[tipo de Contrato (TH talento humano - B/S bienes y/o servicios)]],"-",S871,"-",T871,"-",PAA[[#This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72" spans="2:35" ht="84" x14ac:dyDescent="0.35">
      <c r="B872" s="143">
        <v>20260904</v>
      </c>
      <c r="C872" s="97" t="s">
        <v>1187</v>
      </c>
      <c r="D872" s="23" t="s">
        <v>105</v>
      </c>
      <c r="E872" s="23" t="s">
        <v>363</v>
      </c>
      <c r="F872" s="23" t="s">
        <v>144</v>
      </c>
      <c r="G872" s="124" t="s">
        <v>380</v>
      </c>
      <c r="H872" s="131">
        <v>3</v>
      </c>
      <c r="I872" s="131">
        <v>0</v>
      </c>
      <c r="J872" s="122">
        <v>21600000</v>
      </c>
      <c r="K872" s="88" t="s">
        <v>398</v>
      </c>
      <c r="L872" s="163" t="s">
        <v>154</v>
      </c>
      <c r="M872" s="166" t="s">
        <v>438</v>
      </c>
      <c r="N872" s="23" t="s">
        <v>198</v>
      </c>
      <c r="O872" s="166" t="s">
        <v>887</v>
      </c>
      <c r="P872" s="166" t="s">
        <v>348</v>
      </c>
      <c r="Q872" s="53">
        <v>80111600</v>
      </c>
      <c r="R872" s="166" t="s">
        <v>218</v>
      </c>
      <c r="S872" s="166" t="str">
        <f>MID(PAA[[#This Row],[Meta Proyecto de Inversión]],1,4)</f>
        <v>8173</v>
      </c>
      <c r="T872" s="166" t="str">
        <f>MID(PAA[[#This Row],[Meta Proyecto de Inversión]],6,2)</f>
        <v>9-</v>
      </c>
      <c r="U872" s="167" t="str">
        <f>IFERROR(VLOOKUP(N872,TD!$B$54:$F$58,2,0)," ")</f>
        <v>O230117</v>
      </c>
      <c r="V872" s="167" t="str">
        <f>IFERROR(VLOOKUP(N872,TD!$B$54:$F$58,3,0)," ")</f>
        <v>4503</v>
      </c>
      <c r="W872" s="167">
        <f>IFERROR(VLOOKUP(N872,TD!$B$54:$F$58,4,0)," ")</f>
        <v>20240255</v>
      </c>
      <c r="X872" s="166" t="s">
        <v>172</v>
      </c>
      <c r="Y872" s="172" t="str">
        <f>IFERROR(VLOOKUP(X872,TD!$J$55:$K$68,2,0)," ")</f>
        <v>Servicio de formación en gestión del riesgo de incendios para el personal UAECOB</v>
      </c>
      <c r="Z872" s="168" t="str">
        <f>CONCATENATE(X872,"-",Y872)</f>
        <v>07-Servicio de formación en gestión del riesgo de incendios para el personal UAECOB</v>
      </c>
      <c r="AA872" s="174" t="s">
        <v>222</v>
      </c>
      <c r="AB872" s="172" t="str">
        <f>IFERROR(VLOOKUP(AA872,TD!$N$55:$O$70,2,0)," ")</f>
        <v>Servicio de educación informal</v>
      </c>
      <c r="AC872" s="168" t="str">
        <f>CONCATENATE(AA872,"_",AB872)</f>
        <v>002_Servicio de educación informal</v>
      </c>
      <c r="AD872" s="168" t="str">
        <f>CONCATENATE(Z872," ",AC872)</f>
        <v>07-Servicio de formación en gestión del riesgo de incendios para el personal UAECOB 002_Servicio de educación informal</v>
      </c>
      <c r="AE872" s="167" t="str">
        <f>CONCATENATE(U872,V872,W872,X872,AA872)</f>
        <v>O23011745032024025507002</v>
      </c>
      <c r="AF872" s="172" t="str">
        <f>IFERROR(VLOOKUP(AD872,TD!$J$70:$K$93,2,0)," ")</f>
        <v>PM/0131/0107/45030020255</v>
      </c>
      <c r="AG872" s="114" t="s">
        <v>385</v>
      </c>
      <c r="AH872" s="175" t="s">
        <v>193</v>
      </c>
      <c r="AI872" s="184" t="str">
        <f>CONCATENATE(PAA[[#This Row],[Id Interno]],"-",PAA[[#This Row],[tipo de Contrato (TH talento humano - B/S bienes y/o servicios)]],"-",S872,"-",T872,"-",PAA[[#This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73" spans="2:35" ht="84" x14ac:dyDescent="0.35">
      <c r="B873" s="143">
        <v>20260905</v>
      </c>
      <c r="C873" s="97" t="s">
        <v>1188</v>
      </c>
      <c r="D873" s="23" t="s">
        <v>105</v>
      </c>
      <c r="E873" s="23" t="s">
        <v>363</v>
      </c>
      <c r="F873" s="23" t="s">
        <v>144</v>
      </c>
      <c r="G873" s="124" t="s">
        <v>380</v>
      </c>
      <c r="H873" s="131">
        <v>4</v>
      </c>
      <c r="I873" s="131">
        <v>0</v>
      </c>
      <c r="J873" s="122">
        <v>28800000</v>
      </c>
      <c r="K873" s="88" t="s">
        <v>398</v>
      </c>
      <c r="L873" s="163" t="s">
        <v>154</v>
      </c>
      <c r="M873" s="166" t="s">
        <v>438</v>
      </c>
      <c r="N873" s="23" t="s">
        <v>198</v>
      </c>
      <c r="O873" s="166" t="s">
        <v>887</v>
      </c>
      <c r="P873" s="166" t="s">
        <v>348</v>
      </c>
      <c r="Q873" s="53">
        <v>80111600</v>
      </c>
      <c r="R873" s="166" t="s">
        <v>218</v>
      </c>
      <c r="S873" s="166" t="str">
        <f>MID(PAA[[#This Row],[Meta Proyecto de Inversión]],1,4)</f>
        <v>8173</v>
      </c>
      <c r="T873" s="166" t="str">
        <f>MID(PAA[[#This Row],[Meta Proyecto de Inversión]],6,2)</f>
        <v>9-</v>
      </c>
      <c r="U873" s="167" t="str">
        <f>IFERROR(VLOOKUP(N873,TD!$B$54:$F$58,2,0)," ")</f>
        <v>O230117</v>
      </c>
      <c r="V873" s="167" t="str">
        <f>IFERROR(VLOOKUP(N873,TD!$B$54:$F$58,3,0)," ")</f>
        <v>4503</v>
      </c>
      <c r="W873" s="167">
        <f>IFERROR(VLOOKUP(N873,TD!$B$54:$F$58,4,0)," ")</f>
        <v>20240255</v>
      </c>
      <c r="X873" s="166" t="s">
        <v>172</v>
      </c>
      <c r="Y873" s="172" t="str">
        <f>IFERROR(VLOOKUP(X873,TD!$J$55:$K$68,2,0)," ")</f>
        <v>Servicio de formación en gestión del riesgo de incendios para el personal UAECOB</v>
      </c>
      <c r="Z873" s="168" t="str">
        <f>CONCATENATE(X873,"-",Y873)</f>
        <v>07-Servicio de formación en gestión del riesgo de incendios para el personal UAECOB</v>
      </c>
      <c r="AA873" s="174" t="s">
        <v>222</v>
      </c>
      <c r="AB873" s="172" t="str">
        <f>IFERROR(VLOOKUP(AA873,TD!$N$55:$O$70,2,0)," ")</f>
        <v>Servicio de educación informal</v>
      </c>
      <c r="AC873" s="168" t="str">
        <f>CONCATENATE(AA873,"_",AB873)</f>
        <v>002_Servicio de educación informal</v>
      </c>
      <c r="AD873" s="168" t="str">
        <f>CONCATENATE(Z873," ",AC873)</f>
        <v>07-Servicio de formación en gestión del riesgo de incendios para el personal UAECOB 002_Servicio de educación informal</v>
      </c>
      <c r="AE873" s="167" t="str">
        <f>CONCATENATE(U873,V873,W873,X873,AA873)</f>
        <v>O23011745032024025507002</v>
      </c>
      <c r="AF873" s="172" t="str">
        <f>IFERROR(VLOOKUP(AD873,TD!$J$70:$K$93,2,0)," ")</f>
        <v>PM/0131/0107/45030020255</v>
      </c>
      <c r="AG873" s="114" t="s">
        <v>385</v>
      </c>
      <c r="AH873" s="175" t="s">
        <v>193</v>
      </c>
      <c r="AI873" s="184" t="str">
        <f>CONCATENATE(PAA[[#This Row],[Id Interno]],"-",PAA[[#This Row],[tipo de Contrato (TH talento humano - B/S bienes y/o servicios)]],"-",S873,"-",T873,"-",PAA[[#This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74" spans="2:35" ht="98" x14ac:dyDescent="0.35">
      <c r="B874" s="137">
        <v>20260906</v>
      </c>
      <c r="C874" s="117" t="s">
        <v>1189</v>
      </c>
      <c r="D874" s="125" t="s">
        <v>105</v>
      </c>
      <c r="E874" s="125" t="s">
        <v>363</v>
      </c>
      <c r="F874" s="125" t="s">
        <v>144</v>
      </c>
      <c r="G874" s="126" t="s">
        <v>381</v>
      </c>
      <c r="H874" s="132">
        <v>3</v>
      </c>
      <c r="I874" s="132">
        <v>0</v>
      </c>
      <c r="J874" s="127">
        <v>17700000</v>
      </c>
      <c r="K874" s="128" t="s">
        <v>398</v>
      </c>
      <c r="L874" s="176" t="s">
        <v>154</v>
      </c>
      <c r="M874" s="174" t="s">
        <v>438</v>
      </c>
      <c r="N874" s="125" t="s">
        <v>198</v>
      </c>
      <c r="O874" s="174" t="s">
        <v>887</v>
      </c>
      <c r="P874" s="174" t="s">
        <v>348</v>
      </c>
      <c r="Q874" s="129">
        <v>80111600</v>
      </c>
      <c r="R874" s="174" t="s">
        <v>218</v>
      </c>
      <c r="S874" s="174" t="str">
        <f>MID(PAA[[#This Row],[Meta Proyecto de Inversión]],1,4)</f>
        <v>8173</v>
      </c>
      <c r="T874" s="174" t="str">
        <f>MID(PAA[[#This Row],[Meta Proyecto de Inversión]],6,2)</f>
        <v>9-</v>
      </c>
      <c r="U874" s="179" t="str">
        <f>IFERROR(VLOOKUP(N874,TD!$B$54:$F$58,2,0)," ")</f>
        <v>O230117</v>
      </c>
      <c r="V874" s="179" t="str">
        <f>IFERROR(VLOOKUP(N874,TD!$B$54:$F$58,3,0)," ")</f>
        <v>4503</v>
      </c>
      <c r="W874" s="179">
        <f>IFERROR(VLOOKUP(N874,TD!$B$54:$F$58,4,0)," ")</f>
        <v>20240255</v>
      </c>
      <c r="X874" s="166" t="s">
        <v>172</v>
      </c>
      <c r="Y874" s="172" t="str">
        <f>IFERROR(VLOOKUP(X874,TD!$J$55:$K$68,2,0)," ")</f>
        <v>Servicio de formación en gestión del riesgo de incendios para el personal UAECOB</v>
      </c>
      <c r="Z874" s="180" t="str">
        <f>CONCATENATE(X874,"-",Y874)</f>
        <v>07-Servicio de formación en gestión del riesgo de incendios para el personal UAECOB</v>
      </c>
      <c r="AA874" s="174" t="s">
        <v>222</v>
      </c>
      <c r="AB874" s="172" t="str">
        <f>IFERROR(VLOOKUP(AA874,TD!$N$55:$O$70,2,0)," ")</f>
        <v>Servicio de educación informal</v>
      </c>
      <c r="AC874" s="180" t="str">
        <f>CONCATENATE(AA874,"_",AB874)</f>
        <v>002_Servicio de educación informal</v>
      </c>
      <c r="AD874" s="180" t="str">
        <f>CONCATENATE(Z874," ",AC874)</f>
        <v>07-Servicio de formación en gestión del riesgo de incendios para el personal UAECOB 002_Servicio de educación informal</v>
      </c>
      <c r="AE874" s="179" t="str">
        <f>CONCATENATE(U874,V874,W874,X874,AA874)</f>
        <v>O23011745032024025507002</v>
      </c>
      <c r="AF874" s="172" t="str">
        <f>IFERROR(VLOOKUP(AD874,TD!$J$70:$K$93,2,0)," ")</f>
        <v>PM/0131/0107/45030020255</v>
      </c>
      <c r="AG874" s="130" t="s">
        <v>385</v>
      </c>
      <c r="AH874" s="181" t="s">
        <v>193</v>
      </c>
      <c r="AI874" s="184" t="str">
        <f>CONCATENATE(PAA[[#This Row],[Id Interno]],"-",PAA[[#This Row],[tipo de Contrato (TH talento humano - B/S bienes y/o servicios)]],"-",S874,"-",T874,"-",PAA[[#This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75" spans="2:35" ht="84" x14ac:dyDescent="0.35">
      <c r="B875" s="143">
        <v>20260907</v>
      </c>
      <c r="C875" s="97" t="s">
        <v>1190</v>
      </c>
      <c r="D875" s="23" t="s">
        <v>105</v>
      </c>
      <c r="E875" s="23" t="s">
        <v>363</v>
      </c>
      <c r="F875" s="23" t="s">
        <v>144</v>
      </c>
      <c r="G875" s="124" t="s">
        <v>381</v>
      </c>
      <c r="H875" s="131">
        <v>3</v>
      </c>
      <c r="I875" s="131">
        <v>0</v>
      </c>
      <c r="J875" s="122">
        <v>18000000</v>
      </c>
      <c r="K875" s="88" t="s">
        <v>398</v>
      </c>
      <c r="L875" s="163" t="s">
        <v>154</v>
      </c>
      <c r="M875" s="166" t="s">
        <v>438</v>
      </c>
      <c r="N875" s="23" t="s">
        <v>198</v>
      </c>
      <c r="O875" s="166" t="s">
        <v>887</v>
      </c>
      <c r="P875" s="166" t="s">
        <v>348</v>
      </c>
      <c r="Q875" s="53">
        <v>80111600</v>
      </c>
      <c r="R875" s="166" t="s">
        <v>218</v>
      </c>
      <c r="S875" s="166" t="str">
        <f>MID(PAA[[#This Row],[Meta Proyecto de Inversión]],1,4)</f>
        <v>8173</v>
      </c>
      <c r="T875" s="166" t="str">
        <f>MID(PAA[[#This Row],[Meta Proyecto de Inversión]],6,2)</f>
        <v>9-</v>
      </c>
      <c r="U875" s="167" t="str">
        <f>IFERROR(VLOOKUP(N875,TD!$B$54:$F$58,2,0)," ")</f>
        <v>O230117</v>
      </c>
      <c r="V875" s="167" t="str">
        <f>IFERROR(VLOOKUP(N875,TD!$B$54:$F$58,3,0)," ")</f>
        <v>4503</v>
      </c>
      <c r="W875" s="167">
        <f>IFERROR(VLOOKUP(N875,TD!$B$54:$F$58,4,0)," ")</f>
        <v>20240255</v>
      </c>
      <c r="X875" s="166" t="s">
        <v>172</v>
      </c>
      <c r="Y875" s="172" t="str">
        <f>IFERROR(VLOOKUP(X875,TD!$J$55:$K$68,2,0)," ")</f>
        <v>Servicio de formación en gestión del riesgo de incendios para el personal UAECOB</v>
      </c>
      <c r="Z875" s="168" t="str">
        <f>CONCATENATE(X875,"-",Y875)</f>
        <v>07-Servicio de formación en gestión del riesgo de incendios para el personal UAECOB</v>
      </c>
      <c r="AA875" s="174" t="s">
        <v>222</v>
      </c>
      <c r="AB875" s="172" t="str">
        <f>IFERROR(VLOOKUP(AA875,TD!$N$55:$O$70,2,0)," ")</f>
        <v>Servicio de educación informal</v>
      </c>
      <c r="AC875" s="168" t="str">
        <f>CONCATENATE(AA875,"_",AB875)</f>
        <v>002_Servicio de educación informal</v>
      </c>
      <c r="AD875" s="168" t="str">
        <f>CONCATENATE(Z875," ",AC875)</f>
        <v>07-Servicio de formación en gestión del riesgo de incendios para el personal UAECOB 002_Servicio de educación informal</v>
      </c>
      <c r="AE875" s="167" t="str">
        <f>CONCATENATE(U875,V875,W875,X875,AA875)</f>
        <v>O23011745032024025507002</v>
      </c>
      <c r="AF875" s="172" t="str">
        <f>IFERROR(VLOOKUP(AD875,TD!$J$70:$K$93,2,0)," ")</f>
        <v>PM/0131/0107/45030020255</v>
      </c>
      <c r="AG875" s="130" t="s">
        <v>385</v>
      </c>
      <c r="AH875" s="175" t="s">
        <v>193</v>
      </c>
      <c r="AI875" s="184" t="str">
        <f>CONCATENATE(PAA[[#This Row],[Id Interno]],"-",PAA[[#This Row],[tipo de Contrato (TH talento humano - B/S bienes y/o servicios)]],"-",S875,"-",T875,"-",PAA[[#This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76" spans="2:35" ht="84" x14ac:dyDescent="0.35">
      <c r="B876" s="137">
        <v>20260908</v>
      </c>
      <c r="C876" s="117" t="s">
        <v>1191</v>
      </c>
      <c r="D876" s="125" t="s">
        <v>105</v>
      </c>
      <c r="E876" s="125" t="s">
        <v>363</v>
      </c>
      <c r="F876" s="125" t="s">
        <v>144</v>
      </c>
      <c r="G876" s="126" t="s">
        <v>381</v>
      </c>
      <c r="H876" s="132">
        <v>3</v>
      </c>
      <c r="I876" s="132">
        <v>0</v>
      </c>
      <c r="J876" s="127">
        <v>22200000</v>
      </c>
      <c r="K876" s="128" t="s">
        <v>398</v>
      </c>
      <c r="L876" s="176" t="s">
        <v>154</v>
      </c>
      <c r="M876" s="174" t="s">
        <v>438</v>
      </c>
      <c r="N876" s="125" t="s">
        <v>198</v>
      </c>
      <c r="O876" s="174" t="s">
        <v>887</v>
      </c>
      <c r="P876" s="174" t="s">
        <v>348</v>
      </c>
      <c r="Q876" s="129">
        <v>80111600</v>
      </c>
      <c r="R876" s="174" t="s">
        <v>218</v>
      </c>
      <c r="S876" s="174" t="str">
        <f>MID(PAA[[#This Row],[Meta Proyecto de Inversión]],1,4)</f>
        <v>8173</v>
      </c>
      <c r="T876" s="174" t="str">
        <f>MID(PAA[[#This Row],[Meta Proyecto de Inversión]],6,2)</f>
        <v>9-</v>
      </c>
      <c r="U876" s="179" t="str">
        <f>IFERROR(VLOOKUP(N876,TD!$B$54:$F$58,2,0)," ")</f>
        <v>O230117</v>
      </c>
      <c r="V876" s="179" t="str">
        <f>IFERROR(VLOOKUP(N876,TD!$B$54:$F$58,3,0)," ")</f>
        <v>4503</v>
      </c>
      <c r="W876" s="179">
        <f>IFERROR(VLOOKUP(N876,TD!$B$54:$F$58,4,0)," ")</f>
        <v>20240255</v>
      </c>
      <c r="X876" s="166" t="s">
        <v>172</v>
      </c>
      <c r="Y876" s="172" t="str">
        <f>IFERROR(VLOOKUP(X876,TD!$J$55:$K$68,2,0)," ")</f>
        <v>Servicio de formación en gestión del riesgo de incendios para el personal UAECOB</v>
      </c>
      <c r="Z876" s="180" t="str">
        <f>CONCATENATE(X876,"-",Y876)</f>
        <v>07-Servicio de formación en gestión del riesgo de incendios para el personal UAECOB</v>
      </c>
      <c r="AA876" s="174" t="s">
        <v>222</v>
      </c>
      <c r="AB876" s="172" t="str">
        <f>IFERROR(VLOOKUP(AA876,TD!$N$55:$O$70,2,0)," ")</f>
        <v>Servicio de educación informal</v>
      </c>
      <c r="AC876" s="180" t="str">
        <f>CONCATENATE(AA876,"_",AB876)</f>
        <v>002_Servicio de educación informal</v>
      </c>
      <c r="AD876" s="180" t="str">
        <f>CONCATENATE(Z876," ",AC876)</f>
        <v>07-Servicio de formación en gestión del riesgo de incendios para el personal UAECOB 002_Servicio de educación informal</v>
      </c>
      <c r="AE876" s="179" t="str">
        <f>CONCATENATE(U876,V876,W876,X876,AA876)</f>
        <v>O23011745032024025507002</v>
      </c>
      <c r="AF876" s="172" t="str">
        <f>IFERROR(VLOOKUP(AD876,TD!$J$70:$K$93,2,0)," ")</f>
        <v>PM/0131/0107/45030020255</v>
      </c>
      <c r="AG876" s="130" t="s">
        <v>385</v>
      </c>
      <c r="AH876" s="175" t="s">
        <v>193</v>
      </c>
      <c r="AI876" s="184" t="str">
        <f>CONCATENATE(PAA[[#This Row],[Id Interno]],"-",PAA[[#This Row],[tipo de Contrato (TH talento humano - B/S bienes y/o servicios)]],"-",S876,"-",T876,"-",PAA[[#This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77" spans="2:35" ht="70" x14ac:dyDescent="0.35">
      <c r="B877" s="155">
        <v>20260909</v>
      </c>
      <c r="C877" s="97" t="s">
        <v>1267</v>
      </c>
      <c r="D877" s="97" t="s">
        <v>105</v>
      </c>
      <c r="E877" s="97" t="s">
        <v>363</v>
      </c>
      <c r="F877" s="97" t="s">
        <v>144</v>
      </c>
      <c r="G877" s="124" t="s">
        <v>381</v>
      </c>
      <c r="H877" s="150">
        <v>3</v>
      </c>
      <c r="I877" s="150">
        <v>0</v>
      </c>
      <c r="J877" s="114">
        <v>12000000</v>
      </c>
      <c r="K877" s="148" t="s">
        <v>398</v>
      </c>
      <c r="L877" s="164" t="s">
        <v>154</v>
      </c>
      <c r="M877" s="171" t="s">
        <v>438</v>
      </c>
      <c r="N877" s="97" t="s">
        <v>198</v>
      </c>
      <c r="O877" s="171" t="s">
        <v>887</v>
      </c>
      <c r="P877" s="171" t="s">
        <v>348</v>
      </c>
      <c r="Q877" s="123">
        <v>80111600</v>
      </c>
      <c r="R877" s="171" t="s">
        <v>218</v>
      </c>
      <c r="S877" s="166" t="str">
        <f>MID(PAA[[#This Row],[Meta Proyecto de Inversión]],1,4)</f>
        <v>8173</v>
      </c>
      <c r="T877" s="166" t="str">
        <f>MID(PAA[[#This Row],[Meta Proyecto de Inversión]],6,2)</f>
        <v>9-</v>
      </c>
      <c r="U877" s="172" t="str">
        <f>IFERROR(VLOOKUP(N877,TD!$B$54:$F$58,2,0)," ")</f>
        <v>O230117</v>
      </c>
      <c r="V877" s="172" t="str">
        <f>IFERROR(VLOOKUP(N877,TD!$B$54:$F$58,3,0)," ")</f>
        <v>4503</v>
      </c>
      <c r="W877" s="172">
        <f>IFERROR(VLOOKUP(N877,TD!$B$54:$F$58,4,0)," ")</f>
        <v>20240255</v>
      </c>
      <c r="X877" s="171" t="s">
        <v>172</v>
      </c>
      <c r="Y877" s="172" t="str">
        <f>IFERROR(VLOOKUP(X877,TD!$J$55:$K$68,2,0)," ")</f>
        <v>Servicio de formación en gestión del riesgo de incendios para el personal UAECOB</v>
      </c>
      <c r="Z877" s="168" t="str">
        <f>CONCATENATE(X877,"-",Y877)</f>
        <v>07-Servicio de formación en gestión del riesgo de incendios para el personal UAECOB</v>
      </c>
      <c r="AA877" s="186" t="s">
        <v>222</v>
      </c>
      <c r="AB877" s="172" t="str">
        <f>IFERROR(VLOOKUP(AA877,TD!$N$55:$O$70,2,0)," ")</f>
        <v>Servicio de educación informal</v>
      </c>
      <c r="AC877" s="168" t="str">
        <f>CONCATENATE(AA877,"_",AB877)</f>
        <v>002_Servicio de educación informal</v>
      </c>
      <c r="AD877" s="168" t="str">
        <f>CONCATENATE(Z877," ",AC877)</f>
        <v>07-Servicio de formación en gestión del riesgo de incendios para el personal UAECOB 002_Servicio de educación informal</v>
      </c>
      <c r="AE877" s="172" t="str">
        <f>CONCATENATE(U877,V877,W877,X877,AA877)</f>
        <v>O23011745032024025507002</v>
      </c>
      <c r="AF877" s="172" t="str">
        <f>IFERROR(VLOOKUP(AD877,TD!$J$70:$K$93,2,0)," ")</f>
        <v>PM/0131/0107/45030020255</v>
      </c>
      <c r="AG877" s="114" t="s">
        <v>385</v>
      </c>
      <c r="AH877" s="182" t="s">
        <v>193</v>
      </c>
      <c r="AI877" s="184" t="str">
        <f>CONCATENATE(PAA[[#This Row],[Id Interno]],"-",PAA[[#This Row],[tipo de Contrato (TH talento humano - B/S bienes y/o servicios)]],"-",S877,"-",T877,"-",PAA[[#This Row],[Objeto de la contratación]])</f>
        <v>20260909-TH-8173-9--Prestar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78" spans="2:35" ht="84" x14ac:dyDescent="0.35">
      <c r="B878" s="143">
        <v>20260910</v>
      </c>
      <c r="C878" s="97" t="s">
        <v>1192</v>
      </c>
      <c r="D878" s="23" t="s">
        <v>105</v>
      </c>
      <c r="E878" s="23" t="s">
        <v>363</v>
      </c>
      <c r="F878" s="23" t="s">
        <v>144</v>
      </c>
      <c r="G878" s="124" t="s">
        <v>381</v>
      </c>
      <c r="H878" s="131">
        <v>3</v>
      </c>
      <c r="I878" s="131">
        <v>0</v>
      </c>
      <c r="J878" s="122">
        <v>23400000</v>
      </c>
      <c r="K878" s="128" t="s">
        <v>398</v>
      </c>
      <c r="L878" s="163" t="s">
        <v>154</v>
      </c>
      <c r="M878" s="166" t="s">
        <v>438</v>
      </c>
      <c r="N878" s="23" t="s">
        <v>198</v>
      </c>
      <c r="O878" s="166" t="s">
        <v>887</v>
      </c>
      <c r="P878" s="166" t="s">
        <v>348</v>
      </c>
      <c r="Q878" s="53">
        <v>80111600</v>
      </c>
      <c r="R878" s="166" t="s">
        <v>218</v>
      </c>
      <c r="S878" s="166" t="str">
        <f>MID(PAA[[#This Row],[Meta Proyecto de Inversión]],1,4)</f>
        <v>8173</v>
      </c>
      <c r="T878" s="166" t="str">
        <f>MID(PAA[[#This Row],[Meta Proyecto de Inversión]],6,2)</f>
        <v>9-</v>
      </c>
      <c r="U878" s="167" t="str">
        <f>IFERROR(VLOOKUP(N878,TD!$B$54:$F$58,2,0)," ")</f>
        <v>O230117</v>
      </c>
      <c r="V878" s="167" t="str">
        <f>IFERROR(VLOOKUP(N878,TD!$B$54:$F$58,3,0)," ")</f>
        <v>4503</v>
      </c>
      <c r="W878" s="167">
        <f>IFERROR(VLOOKUP(N878,TD!$B$54:$F$58,4,0)," ")</f>
        <v>20240255</v>
      </c>
      <c r="X878" s="166" t="s">
        <v>172</v>
      </c>
      <c r="Y878" s="172" t="str">
        <f>IFERROR(VLOOKUP(X878,TD!$J$55:$K$68,2,0)," ")</f>
        <v>Servicio de formación en gestión del riesgo de incendios para el personal UAECOB</v>
      </c>
      <c r="Z878" s="168" t="str">
        <f>CONCATENATE(X878,"-",Y878)</f>
        <v>07-Servicio de formación en gestión del riesgo de incendios para el personal UAECOB</v>
      </c>
      <c r="AA878" s="174" t="s">
        <v>222</v>
      </c>
      <c r="AB878" s="172" t="str">
        <f>IFERROR(VLOOKUP(AA878,TD!$N$55:$O$70,2,0)," ")</f>
        <v>Servicio de educación informal</v>
      </c>
      <c r="AC878" s="168" t="str">
        <f>CONCATENATE(AA878,"_",AB878)</f>
        <v>002_Servicio de educación informal</v>
      </c>
      <c r="AD878" s="168" t="str">
        <f>CONCATENATE(Z878," ",AC878)</f>
        <v>07-Servicio de formación en gestión del riesgo de incendios para el personal UAECOB 002_Servicio de educación informal</v>
      </c>
      <c r="AE878" s="167" t="str">
        <f>CONCATENATE(U878,V878,W878,X878,AA878)</f>
        <v>O23011745032024025507002</v>
      </c>
      <c r="AF878" s="172" t="str">
        <f>IFERROR(VLOOKUP(AD878,TD!$J$70:$K$93,2,0)," ")</f>
        <v>PM/0131/0107/45030020255</v>
      </c>
      <c r="AG878" s="114" t="s">
        <v>385</v>
      </c>
      <c r="AH878" s="175" t="s">
        <v>194</v>
      </c>
      <c r="AI878" s="184" t="str">
        <f>CONCATENATE(PAA[[#This Row],[Id Interno]],"-",PAA[[#This Row],[tipo de Contrato (TH talento humano - B/S bienes y/o servicios)]],"-",S878,"-",T878,"-",PAA[[#This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79" spans="2:35" ht="98" x14ac:dyDescent="0.35">
      <c r="B879" s="143">
        <v>20260911</v>
      </c>
      <c r="C879" s="97" t="s">
        <v>1193</v>
      </c>
      <c r="D879" s="23" t="s">
        <v>105</v>
      </c>
      <c r="E879" s="23" t="s">
        <v>363</v>
      </c>
      <c r="F879" s="23" t="s">
        <v>144</v>
      </c>
      <c r="G879" s="124" t="s">
        <v>381</v>
      </c>
      <c r="H879" s="131">
        <v>3</v>
      </c>
      <c r="I879" s="131">
        <v>0</v>
      </c>
      <c r="J879" s="122">
        <v>11070000</v>
      </c>
      <c r="K879" s="128" t="s">
        <v>398</v>
      </c>
      <c r="L879" s="163" t="s">
        <v>154</v>
      </c>
      <c r="M879" s="166" t="s">
        <v>438</v>
      </c>
      <c r="N879" s="23" t="s">
        <v>198</v>
      </c>
      <c r="O879" s="166" t="s">
        <v>887</v>
      </c>
      <c r="P879" s="166" t="s">
        <v>348</v>
      </c>
      <c r="Q879" s="53">
        <v>80111600</v>
      </c>
      <c r="R879" s="166" t="s">
        <v>218</v>
      </c>
      <c r="S879" s="166" t="str">
        <f>MID(PAA[[#This Row],[Meta Proyecto de Inversión]],1,4)</f>
        <v>8173</v>
      </c>
      <c r="T879" s="166" t="str">
        <f>MID(PAA[[#This Row],[Meta Proyecto de Inversión]],6,2)</f>
        <v>9-</v>
      </c>
      <c r="U879" s="167" t="str">
        <f>IFERROR(VLOOKUP(N879,TD!$B$54:$F$58,2,0)," ")</f>
        <v>O230117</v>
      </c>
      <c r="V879" s="167" t="str">
        <f>IFERROR(VLOOKUP(N879,TD!$B$54:$F$58,3,0)," ")</f>
        <v>4503</v>
      </c>
      <c r="W879" s="167">
        <f>IFERROR(VLOOKUP(N879,TD!$B$54:$F$58,4,0)," ")</f>
        <v>20240255</v>
      </c>
      <c r="X879" s="166" t="s">
        <v>172</v>
      </c>
      <c r="Y879" s="172" t="str">
        <f>IFERROR(VLOOKUP(X879,TD!$J$55:$K$68,2,0)," ")</f>
        <v>Servicio de formación en gestión del riesgo de incendios para el personal UAECOB</v>
      </c>
      <c r="Z879" s="168" t="str">
        <f>CONCATENATE(X879,"-",Y879)</f>
        <v>07-Servicio de formación en gestión del riesgo de incendios para el personal UAECOB</v>
      </c>
      <c r="AA879" s="174" t="s">
        <v>222</v>
      </c>
      <c r="AB879" s="172" t="str">
        <f>IFERROR(VLOOKUP(AA879,TD!$N$55:$O$70,2,0)," ")</f>
        <v>Servicio de educación informal</v>
      </c>
      <c r="AC879" s="168" t="str">
        <f>CONCATENATE(AA879,"_",AB879)</f>
        <v>002_Servicio de educación informal</v>
      </c>
      <c r="AD879" s="168" t="str">
        <f>CONCATENATE(Z879," ",AC879)</f>
        <v>07-Servicio de formación en gestión del riesgo de incendios para el personal UAECOB 002_Servicio de educación informal</v>
      </c>
      <c r="AE879" s="167" t="str">
        <f>CONCATENATE(U879,V879,W879,X879,AA879)</f>
        <v>O23011745032024025507002</v>
      </c>
      <c r="AF879" s="172" t="str">
        <f>IFERROR(VLOOKUP(AD879,TD!$J$70:$K$93,2,0)," ")</f>
        <v>PM/0131/0107/45030020255</v>
      </c>
      <c r="AG879" s="114" t="s">
        <v>385</v>
      </c>
      <c r="AH879" s="175" t="s">
        <v>194</v>
      </c>
      <c r="AI879" s="184" t="str">
        <f>CONCATENATE(PAA[[#This Row],[Id Interno]],"-",PAA[[#This Row],[tipo de Contrato (TH talento humano - B/S bienes y/o servicios)]],"-",S879,"-",T879,"-",PAA[[#This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80" spans="2:35" ht="112" x14ac:dyDescent="0.35">
      <c r="B880" s="143">
        <v>20260912</v>
      </c>
      <c r="C880" s="97" t="s">
        <v>1194</v>
      </c>
      <c r="D880" s="23" t="s">
        <v>105</v>
      </c>
      <c r="E880" s="23" t="s">
        <v>363</v>
      </c>
      <c r="F880" s="23" t="s">
        <v>144</v>
      </c>
      <c r="G880" s="124" t="s">
        <v>381</v>
      </c>
      <c r="H880" s="131">
        <v>3</v>
      </c>
      <c r="I880" s="131">
        <v>0</v>
      </c>
      <c r="J880" s="122">
        <v>12300000</v>
      </c>
      <c r="K880" s="128" t="s">
        <v>398</v>
      </c>
      <c r="L880" s="163" t="s">
        <v>154</v>
      </c>
      <c r="M880" s="166" t="s">
        <v>438</v>
      </c>
      <c r="N880" s="23" t="s">
        <v>198</v>
      </c>
      <c r="O880" s="166" t="s">
        <v>887</v>
      </c>
      <c r="P880" s="166" t="s">
        <v>348</v>
      </c>
      <c r="Q880" s="53">
        <v>80111600</v>
      </c>
      <c r="R880" s="166" t="s">
        <v>218</v>
      </c>
      <c r="S880" s="166" t="str">
        <f>MID(PAA[[#This Row],[Meta Proyecto de Inversión]],1,4)</f>
        <v>8173</v>
      </c>
      <c r="T880" s="166" t="str">
        <f>MID(PAA[[#This Row],[Meta Proyecto de Inversión]],6,2)</f>
        <v>9-</v>
      </c>
      <c r="U880" s="167" t="str">
        <f>IFERROR(VLOOKUP(N880,TD!$B$54:$F$58,2,0)," ")</f>
        <v>O230117</v>
      </c>
      <c r="V880" s="167" t="str">
        <f>IFERROR(VLOOKUP(N880,TD!$B$54:$F$58,3,0)," ")</f>
        <v>4503</v>
      </c>
      <c r="W880" s="167">
        <f>IFERROR(VLOOKUP(N880,TD!$B$54:$F$58,4,0)," ")</f>
        <v>20240255</v>
      </c>
      <c r="X880" s="166" t="s">
        <v>172</v>
      </c>
      <c r="Y880" s="172" t="str">
        <f>IFERROR(VLOOKUP(X880,TD!$J$55:$K$68,2,0)," ")</f>
        <v>Servicio de formación en gestión del riesgo de incendios para el personal UAECOB</v>
      </c>
      <c r="Z880" s="168" t="str">
        <f>CONCATENATE(X880,"-",Y880)</f>
        <v>07-Servicio de formación en gestión del riesgo de incendios para el personal UAECOB</v>
      </c>
      <c r="AA880" s="174" t="s">
        <v>222</v>
      </c>
      <c r="AB880" s="172" t="str">
        <f>IFERROR(VLOOKUP(AA880,TD!$N$55:$O$70,2,0)," ")</f>
        <v>Servicio de educación informal</v>
      </c>
      <c r="AC880" s="168" t="str">
        <f>CONCATENATE(AA880,"_",AB880)</f>
        <v>002_Servicio de educación informal</v>
      </c>
      <c r="AD880" s="168" t="str">
        <f>CONCATENATE(Z880," ",AC880)</f>
        <v>07-Servicio de formación en gestión del riesgo de incendios para el personal UAECOB 002_Servicio de educación informal</v>
      </c>
      <c r="AE880" s="167" t="str">
        <f>CONCATENATE(U880,V880,W880,X880,AA880)</f>
        <v>O23011745032024025507002</v>
      </c>
      <c r="AF880" s="172" t="str">
        <f>IFERROR(VLOOKUP(AD880,TD!$J$70:$K$93,2,0)," ")</f>
        <v>PM/0131/0107/45030020255</v>
      </c>
      <c r="AG880" s="114" t="s">
        <v>385</v>
      </c>
      <c r="AH880" s="175" t="s">
        <v>193</v>
      </c>
      <c r="AI880" s="184" t="str">
        <f>CONCATENATE(PAA[[#This Row],[Id Interno]],"-",PAA[[#This Row],[tipo de Contrato (TH talento humano - B/S bienes y/o servicios)]],"-",S880,"-",T880,"-",PAA[[#This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81" spans="2:35" ht="84" x14ac:dyDescent="0.35">
      <c r="B881" s="143">
        <v>20260913</v>
      </c>
      <c r="C881" s="97" t="s">
        <v>1195</v>
      </c>
      <c r="D881" s="23" t="s">
        <v>105</v>
      </c>
      <c r="E881" s="23" t="s">
        <v>363</v>
      </c>
      <c r="F881" s="23" t="s">
        <v>144</v>
      </c>
      <c r="G881" s="124" t="s">
        <v>381</v>
      </c>
      <c r="H881" s="131">
        <v>3</v>
      </c>
      <c r="I881" s="131">
        <v>0</v>
      </c>
      <c r="J881" s="122">
        <v>10800000</v>
      </c>
      <c r="K881" s="128" t="s">
        <v>398</v>
      </c>
      <c r="L881" s="163" t="s">
        <v>154</v>
      </c>
      <c r="M881" s="166" t="s">
        <v>438</v>
      </c>
      <c r="N881" s="23" t="s">
        <v>198</v>
      </c>
      <c r="O881" s="166" t="s">
        <v>887</v>
      </c>
      <c r="P881" s="166" t="s">
        <v>348</v>
      </c>
      <c r="Q881" s="53">
        <v>80111600</v>
      </c>
      <c r="R881" s="166" t="s">
        <v>218</v>
      </c>
      <c r="S881" s="166" t="str">
        <f>MID(PAA[[#This Row],[Meta Proyecto de Inversión]],1,4)</f>
        <v>8173</v>
      </c>
      <c r="T881" s="166" t="str">
        <f>MID(PAA[[#This Row],[Meta Proyecto de Inversión]],6,2)</f>
        <v>9-</v>
      </c>
      <c r="U881" s="167" t="str">
        <f>IFERROR(VLOOKUP(N881,TD!$B$54:$F$58,2,0)," ")</f>
        <v>O230117</v>
      </c>
      <c r="V881" s="167" t="str">
        <f>IFERROR(VLOOKUP(N881,TD!$B$54:$F$58,3,0)," ")</f>
        <v>4503</v>
      </c>
      <c r="W881" s="167">
        <f>IFERROR(VLOOKUP(N881,TD!$B$54:$F$58,4,0)," ")</f>
        <v>20240255</v>
      </c>
      <c r="X881" s="166" t="s">
        <v>172</v>
      </c>
      <c r="Y881" s="172" t="str">
        <f>IFERROR(VLOOKUP(X881,TD!$J$55:$K$68,2,0)," ")</f>
        <v>Servicio de formación en gestión del riesgo de incendios para el personal UAECOB</v>
      </c>
      <c r="Z881" s="168" t="str">
        <f>CONCATENATE(X881,"-",Y881)</f>
        <v>07-Servicio de formación en gestión del riesgo de incendios para el personal UAECOB</v>
      </c>
      <c r="AA881" s="174" t="s">
        <v>222</v>
      </c>
      <c r="AB881" s="172" t="str">
        <f>IFERROR(VLOOKUP(AA881,TD!$N$55:$O$70,2,0)," ")</f>
        <v>Servicio de educación informal</v>
      </c>
      <c r="AC881" s="168" t="str">
        <f>CONCATENATE(AA881,"_",AB881)</f>
        <v>002_Servicio de educación informal</v>
      </c>
      <c r="AD881" s="168" t="str">
        <f>CONCATENATE(Z881," ",AC881)</f>
        <v>07-Servicio de formación en gestión del riesgo de incendios para el personal UAECOB 002_Servicio de educación informal</v>
      </c>
      <c r="AE881" s="167" t="str">
        <f>CONCATENATE(U881,V881,W881,X881,AA881)</f>
        <v>O23011745032024025507002</v>
      </c>
      <c r="AF881" s="172" t="str">
        <f>IFERROR(VLOOKUP(AD881,TD!$J$70:$K$93,2,0)," ")</f>
        <v>PM/0131/0107/45030020255</v>
      </c>
      <c r="AG881" s="114" t="s">
        <v>385</v>
      </c>
      <c r="AH881" s="175" t="s">
        <v>193</v>
      </c>
      <c r="AI881" s="184" t="str">
        <f>CONCATENATE(PAA[[#This Row],[Id Interno]],"-",PAA[[#This Row],[tipo de Contrato (TH talento humano - B/S bienes y/o servicios)]],"-",S881,"-",T881,"-",PAA[[#This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82" spans="2:35" ht="98" x14ac:dyDescent="0.35">
      <c r="B882" s="143">
        <v>20260914</v>
      </c>
      <c r="C882" s="97" t="s">
        <v>1196</v>
      </c>
      <c r="D882" s="23" t="s">
        <v>105</v>
      </c>
      <c r="E882" s="23" t="s">
        <v>363</v>
      </c>
      <c r="F882" s="23" t="s">
        <v>144</v>
      </c>
      <c r="G882" s="124" t="s">
        <v>381</v>
      </c>
      <c r="H882" s="131">
        <v>4</v>
      </c>
      <c r="I882" s="131">
        <v>0</v>
      </c>
      <c r="J882" s="122">
        <v>33200000</v>
      </c>
      <c r="K882" s="128" t="s">
        <v>398</v>
      </c>
      <c r="L882" s="163" t="s">
        <v>154</v>
      </c>
      <c r="M882" s="166" t="s">
        <v>438</v>
      </c>
      <c r="N882" s="23" t="s">
        <v>198</v>
      </c>
      <c r="O882" s="166" t="s">
        <v>887</v>
      </c>
      <c r="P882" s="166" t="s">
        <v>348</v>
      </c>
      <c r="Q882" s="53">
        <v>80111600</v>
      </c>
      <c r="R882" s="166" t="s">
        <v>218</v>
      </c>
      <c r="S882" s="166" t="str">
        <f>MID(PAA[[#This Row],[Meta Proyecto de Inversión]],1,4)</f>
        <v>8173</v>
      </c>
      <c r="T882" s="166" t="str">
        <f>MID(PAA[[#This Row],[Meta Proyecto de Inversión]],6,2)</f>
        <v>9-</v>
      </c>
      <c r="U882" s="167" t="str">
        <f>IFERROR(VLOOKUP(N882,TD!$B$54:$F$58,2,0)," ")</f>
        <v>O230117</v>
      </c>
      <c r="V882" s="167" t="str">
        <f>IFERROR(VLOOKUP(N882,TD!$B$54:$F$58,3,0)," ")</f>
        <v>4503</v>
      </c>
      <c r="W882" s="167">
        <f>IFERROR(VLOOKUP(N882,TD!$B$54:$F$58,4,0)," ")</f>
        <v>20240255</v>
      </c>
      <c r="X882" s="166" t="s">
        <v>172</v>
      </c>
      <c r="Y882" s="172" t="str">
        <f>IFERROR(VLOOKUP(X882,TD!$J$55:$K$68,2,0)," ")</f>
        <v>Servicio de formación en gestión del riesgo de incendios para el personal UAECOB</v>
      </c>
      <c r="Z882" s="168" t="str">
        <f>CONCATENATE(X882,"-",Y882)</f>
        <v>07-Servicio de formación en gestión del riesgo de incendios para el personal UAECOB</v>
      </c>
      <c r="AA882" s="174" t="s">
        <v>222</v>
      </c>
      <c r="AB882" s="172" t="str">
        <f>IFERROR(VLOOKUP(AA882,TD!$N$55:$O$70,2,0)," ")</f>
        <v>Servicio de educación informal</v>
      </c>
      <c r="AC882" s="168" t="str">
        <f>CONCATENATE(AA882,"_",AB882)</f>
        <v>002_Servicio de educación informal</v>
      </c>
      <c r="AD882" s="168" t="str">
        <f>CONCATENATE(Z882," ",AC882)</f>
        <v>07-Servicio de formación en gestión del riesgo de incendios para el personal UAECOB 002_Servicio de educación informal</v>
      </c>
      <c r="AE882" s="167" t="str">
        <f>CONCATENATE(U882,V882,W882,X882,AA882)</f>
        <v>O23011745032024025507002</v>
      </c>
      <c r="AF882" s="172" t="str">
        <f>IFERROR(VLOOKUP(AD882,TD!$J$70:$K$93,2,0)," ")</f>
        <v>PM/0131/0107/45030020255</v>
      </c>
      <c r="AG882" s="114" t="s">
        <v>385</v>
      </c>
      <c r="AH882" s="175" t="s">
        <v>193</v>
      </c>
      <c r="AI882" s="184" t="str">
        <f>CONCATENATE(PAA[[#This Row],[Id Interno]],"-",PAA[[#This Row],[tipo de Contrato (TH talento humano - B/S bienes y/o servicios)]],"-",S882,"-",T882,"-",PAA[[#This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83" spans="2:35" ht="98" x14ac:dyDescent="0.35">
      <c r="B883" s="137">
        <v>20260915</v>
      </c>
      <c r="C883" s="117" t="s">
        <v>1197</v>
      </c>
      <c r="D883" s="125" t="s">
        <v>105</v>
      </c>
      <c r="E883" s="125" t="s">
        <v>363</v>
      </c>
      <c r="F883" s="125" t="s">
        <v>144</v>
      </c>
      <c r="G883" s="126" t="s">
        <v>381</v>
      </c>
      <c r="H883" s="132">
        <v>4</v>
      </c>
      <c r="I883" s="132">
        <v>0</v>
      </c>
      <c r="J883" s="127">
        <v>28800000</v>
      </c>
      <c r="K883" s="128" t="s">
        <v>398</v>
      </c>
      <c r="L883" s="176" t="s">
        <v>154</v>
      </c>
      <c r="M883" s="174" t="s">
        <v>438</v>
      </c>
      <c r="N883" s="125" t="s">
        <v>198</v>
      </c>
      <c r="O883" s="174" t="s">
        <v>887</v>
      </c>
      <c r="P883" s="174" t="s">
        <v>348</v>
      </c>
      <c r="Q883" s="129">
        <v>80111600</v>
      </c>
      <c r="R883" s="174" t="s">
        <v>218</v>
      </c>
      <c r="S883" s="174" t="str">
        <f>MID(PAA[[#This Row],[Meta Proyecto de Inversión]],1,4)</f>
        <v>8173</v>
      </c>
      <c r="T883" s="174" t="str">
        <f>MID(PAA[[#This Row],[Meta Proyecto de Inversión]],6,2)</f>
        <v>9-</v>
      </c>
      <c r="U883" s="179" t="str">
        <f>IFERROR(VLOOKUP(N883,TD!$B$54:$F$58,2,0)," ")</f>
        <v>O230117</v>
      </c>
      <c r="V883" s="179" t="str">
        <f>IFERROR(VLOOKUP(N883,TD!$B$54:$F$58,3,0)," ")</f>
        <v>4503</v>
      </c>
      <c r="W883" s="179">
        <f>IFERROR(VLOOKUP(N883,TD!$B$54:$F$58,4,0)," ")</f>
        <v>20240255</v>
      </c>
      <c r="X883" s="166" t="s">
        <v>172</v>
      </c>
      <c r="Y883" s="172" t="str">
        <f>IFERROR(VLOOKUP(X883,TD!$J$55:$K$68,2,0)," ")</f>
        <v>Servicio de formación en gestión del riesgo de incendios para el personal UAECOB</v>
      </c>
      <c r="Z883" s="180" t="str">
        <f>CONCATENATE(X883,"-",Y883)</f>
        <v>07-Servicio de formación en gestión del riesgo de incendios para el personal UAECOB</v>
      </c>
      <c r="AA883" s="174" t="s">
        <v>222</v>
      </c>
      <c r="AB883" s="172" t="str">
        <f>IFERROR(VLOOKUP(AA883,TD!$N$55:$O$70,2,0)," ")</f>
        <v>Servicio de educación informal</v>
      </c>
      <c r="AC883" s="180" t="str">
        <f>CONCATENATE(AA883,"_",AB883)</f>
        <v>002_Servicio de educación informal</v>
      </c>
      <c r="AD883" s="180" t="str">
        <f>CONCATENATE(Z883," ",AC883)</f>
        <v>07-Servicio de formación en gestión del riesgo de incendios para el personal UAECOB 002_Servicio de educación informal</v>
      </c>
      <c r="AE883" s="179" t="str">
        <f>CONCATENATE(U883,V883,W883,X883,AA883)</f>
        <v>O23011745032024025507002</v>
      </c>
      <c r="AF883" s="172" t="str">
        <f>IFERROR(VLOOKUP(AD883,TD!$J$70:$K$93,2,0)," ")</f>
        <v>PM/0131/0107/45030020255</v>
      </c>
      <c r="AG883" s="114" t="s">
        <v>385</v>
      </c>
      <c r="AH883" s="175" t="s">
        <v>193</v>
      </c>
      <c r="AI883" s="184" t="str">
        <f>CONCATENATE(PAA[[#This Row],[Id Interno]],"-",PAA[[#This Row],[tipo de Contrato (TH talento humano - B/S bienes y/o servicios)]],"-",S883,"-",T883,"-",PAA[[#This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84" spans="2:35" ht="98" x14ac:dyDescent="0.35">
      <c r="B884" s="137">
        <v>20260917</v>
      </c>
      <c r="C884" s="117" t="s">
        <v>842</v>
      </c>
      <c r="D884" s="125" t="s">
        <v>105</v>
      </c>
      <c r="E884" s="125" t="s">
        <v>363</v>
      </c>
      <c r="F884" s="125" t="s">
        <v>144</v>
      </c>
      <c r="G884" s="126" t="s">
        <v>381</v>
      </c>
      <c r="H884" s="132">
        <v>3</v>
      </c>
      <c r="I884" s="132">
        <v>0</v>
      </c>
      <c r="J884" s="127">
        <v>12000000</v>
      </c>
      <c r="K884" s="128" t="s">
        <v>398</v>
      </c>
      <c r="L884" s="176" t="s">
        <v>154</v>
      </c>
      <c r="M884" s="174" t="s">
        <v>438</v>
      </c>
      <c r="N884" s="125" t="s">
        <v>198</v>
      </c>
      <c r="O884" s="174" t="s">
        <v>887</v>
      </c>
      <c r="P884" s="174" t="s">
        <v>348</v>
      </c>
      <c r="Q884" s="129">
        <v>80111600</v>
      </c>
      <c r="R884" s="174" t="s">
        <v>218</v>
      </c>
      <c r="S884" s="174" t="str">
        <f>MID(PAA[[#This Row],[Meta Proyecto de Inversión]],1,4)</f>
        <v>8173</v>
      </c>
      <c r="T884" s="174" t="str">
        <f>MID(PAA[[#This Row],[Meta Proyecto de Inversión]],6,2)</f>
        <v>9-</v>
      </c>
      <c r="U884" s="179" t="str">
        <f>IFERROR(VLOOKUP(N884,TD!$B$54:$F$58,2,0)," ")</f>
        <v>O230117</v>
      </c>
      <c r="V884" s="179" t="str">
        <f>IFERROR(VLOOKUP(N884,TD!$B$54:$F$58,3,0)," ")</f>
        <v>4503</v>
      </c>
      <c r="W884" s="179">
        <f>IFERROR(VLOOKUP(N884,TD!$B$54:$F$58,4,0)," ")</f>
        <v>20240255</v>
      </c>
      <c r="X884" s="166" t="s">
        <v>172</v>
      </c>
      <c r="Y884" s="172" t="str">
        <f>IFERROR(VLOOKUP(X884,TD!$J$55:$K$68,2,0)," ")</f>
        <v>Servicio de formación en gestión del riesgo de incendios para el personal UAECOB</v>
      </c>
      <c r="Z884" s="180" t="str">
        <f>CONCATENATE(X884,"-",Y884)</f>
        <v>07-Servicio de formación en gestión del riesgo de incendios para el personal UAECOB</v>
      </c>
      <c r="AA884" s="174" t="s">
        <v>222</v>
      </c>
      <c r="AB884" s="172" t="str">
        <f>IFERROR(VLOOKUP(AA884,TD!$N$55:$O$70,2,0)," ")</f>
        <v>Servicio de educación informal</v>
      </c>
      <c r="AC884" s="180" t="str">
        <f>CONCATENATE(AA884,"_",AB884)</f>
        <v>002_Servicio de educación informal</v>
      </c>
      <c r="AD884" s="180" t="str">
        <f>CONCATENATE(Z884," ",AC884)</f>
        <v>07-Servicio de formación en gestión del riesgo de incendios para el personal UAECOB 002_Servicio de educación informal</v>
      </c>
      <c r="AE884" s="179" t="str">
        <f>CONCATENATE(U884,V884,W884,X884,AA884)</f>
        <v>O23011745032024025507002</v>
      </c>
      <c r="AF884" s="172" t="str">
        <f>IFERROR(VLOOKUP(AD884,TD!$J$70:$K$93,2,0)," ")</f>
        <v>PM/0131/0107/45030020255</v>
      </c>
      <c r="AG884" s="114" t="s">
        <v>385</v>
      </c>
      <c r="AH884" s="175" t="s">
        <v>193</v>
      </c>
      <c r="AI884" s="184" t="str">
        <f>CONCATENATE(PAA[[#This Row],[Id Interno]],"-",PAA[[#This Row],[tipo de Contrato (TH talento humano - B/S bienes y/o servicios)]],"-",S884,"-",T884,"-",PAA[[#This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85" spans="2:35" ht="70" x14ac:dyDescent="0.35">
      <c r="B885" s="155">
        <v>20260918</v>
      </c>
      <c r="C885" s="97" t="s">
        <v>1198</v>
      </c>
      <c r="D885" s="97" t="s">
        <v>105</v>
      </c>
      <c r="E885" s="97" t="s">
        <v>363</v>
      </c>
      <c r="F885" s="97" t="s">
        <v>144</v>
      </c>
      <c r="G885" s="124" t="s">
        <v>383</v>
      </c>
      <c r="H885" s="150">
        <v>2</v>
      </c>
      <c r="I885" s="150">
        <v>0</v>
      </c>
      <c r="J885" s="114">
        <v>16600000</v>
      </c>
      <c r="K885" s="148" t="s">
        <v>398</v>
      </c>
      <c r="L885" s="164" t="s">
        <v>154</v>
      </c>
      <c r="M885" s="171" t="s">
        <v>438</v>
      </c>
      <c r="N885" s="97" t="s">
        <v>198</v>
      </c>
      <c r="O885" s="171" t="s">
        <v>887</v>
      </c>
      <c r="P885" s="171" t="s">
        <v>348</v>
      </c>
      <c r="Q885" s="123">
        <v>80111600</v>
      </c>
      <c r="R885" s="171" t="s">
        <v>218</v>
      </c>
      <c r="S885" s="166" t="str">
        <f>MID(PAA[[#This Row],[Meta Proyecto de Inversión]],1,4)</f>
        <v>8173</v>
      </c>
      <c r="T885" s="166" t="str">
        <f>MID(PAA[[#This Row],[Meta Proyecto de Inversión]],6,2)</f>
        <v>9-</v>
      </c>
      <c r="U885" s="172" t="str">
        <f>IFERROR(VLOOKUP(N885,TD!$B$54:$F$58,2,0)," ")</f>
        <v>O230117</v>
      </c>
      <c r="V885" s="172" t="str">
        <f>IFERROR(VLOOKUP(N885,TD!$B$54:$F$58,3,0)," ")</f>
        <v>4503</v>
      </c>
      <c r="W885" s="172">
        <f>IFERROR(VLOOKUP(N885,TD!$B$54:$F$58,4,0)," ")</f>
        <v>20240255</v>
      </c>
      <c r="X885" s="171" t="s">
        <v>172</v>
      </c>
      <c r="Y885" s="172" t="str">
        <f>IFERROR(VLOOKUP(X885,TD!$J$55:$K$68,2,0)," ")</f>
        <v>Servicio de formación en gestión del riesgo de incendios para el personal UAECOB</v>
      </c>
      <c r="Z885" s="168" t="str">
        <f>CONCATENATE(X885,"-",Y885)</f>
        <v>07-Servicio de formación en gestión del riesgo de incendios para el personal UAECOB</v>
      </c>
      <c r="AA885" s="186" t="s">
        <v>222</v>
      </c>
      <c r="AB885" s="172" t="str">
        <f>IFERROR(VLOOKUP(AA885,TD!$N$55:$O$70,2,0)," ")</f>
        <v>Servicio de educación informal</v>
      </c>
      <c r="AC885" s="168" t="str">
        <f>CONCATENATE(AA885,"_",AB885)</f>
        <v>002_Servicio de educación informal</v>
      </c>
      <c r="AD885" s="168" t="str">
        <f>CONCATENATE(Z885," ",AC885)</f>
        <v>07-Servicio de formación en gestión del riesgo de incendios para el personal UAECOB 002_Servicio de educación informal</v>
      </c>
      <c r="AE885" s="172" t="str">
        <f>CONCATENATE(U885,V885,W885,X885,AA885)</f>
        <v>O23011745032024025507002</v>
      </c>
      <c r="AF885" s="172" t="str">
        <f>IFERROR(VLOOKUP(AD885,TD!$J$70:$K$93,2,0)," ")</f>
        <v>PM/0131/0107/45030020255</v>
      </c>
      <c r="AG885" s="114" t="s">
        <v>385</v>
      </c>
      <c r="AH885" s="182" t="s">
        <v>193</v>
      </c>
      <c r="AI885" s="184" t="str">
        <f>CONCATENATE(PAA[[#This Row],[Id Interno]],"-",PAA[[#This Row],[tipo de Contrato (TH talento humano - B/S bienes y/o servicios)]],"-",S885,"-",T885,"-",PAA[[#This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86" spans="2:35" ht="140" x14ac:dyDescent="0.35">
      <c r="B886" s="155">
        <v>20260919</v>
      </c>
      <c r="C886" s="97" t="s">
        <v>1199</v>
      </c>
      <c r="D886" s="97" t="s">
        <v>105</v>
      </c>
      <c r="E886" s="97" t="s">
        <v>363</v>
      </c>
      <c r="F886" s="97" t="s">
        <v>144</v>
      </c>
      <c r="G886" s="124" t="s">
        <v>384</v>
      </c>
      <c r="H886" s="150">
        <v>1</v>
      </c>
      <c r="I886" s="150">
        <v>20</v>
      </c>
      <c r="J886" s="114">
        <v>10880000</v>
      </c>
      <c r="K886" s="148" t="s">
        <v>398</v>
      </c>
      <c r="L886" s="164" t="s">
        <v>154</v>
      </c>
      <c r="M886" s="171" t="s">
        <v>438</v>
      </c>
      <c r="N886" s="97" t="s">
        <v>198</v>
      </c>
      <c r="O886" s="171" t="s">
        <v>887</v>
      </c>
      <c r="P886" s="171" t="s">
        <v>348</v>
      </c>
      <c r="Q886" s="123">
        <v>80111600</v>
      </c>
      <c r="R886" s="171" t="s">
        <v>218</v>
      </c>
      <c r="S886" s="166" t="str">
        <f>MID(PAA[[#This Row],[Meta Proyecto de Inversión]],1,4)</f>
        <v>8173</v>
      </c>
      <c r="T886" s="166" t="str">
        <f>MID(PAA[[#This Row],[Meta Proyecto de Inversión]],6,2)</f>
        <v>9-</v>
      </c>
      <c r="U886" s="172" t="str">
        <f>IFERROR(VLOOKUP(N886,TD!$B$54:$F$58,2,0)," ")</f>
        <v>O230117</v>
      </c>
      <c r="V886" s="172" t="str">
        <f>IFERROR(VLOOKUP(N886,TD!$B$54:$F$58,3,0)," ")</f>
        <v>4503</v>
      </c>
      <c r="W886" s="172">
        <f>IFERROR(VLOOKUP(N886,TD!$B$54:$F$58,4,0)," ")</f>
        <v>20240255</v>
      </c>
      <c r="X886" s="171" t="s">
        <v>172</v>
      </c>
      <c r="Y886" s="172" t="str">
        <f>IFERROR(VLOOKUP(X886,TD!$J$55:$K$68,2,0)," ")</f>
        <v>Servicio de formación en gestión del riesgo de incendios para el personal UAECOB</v>
      </c>
      <c r="Z886" s="168" t="str">
        <f>CONCATENATE(X886,"-",Y886)</f>
        <v>07-Servicio de formación en gestión del riesgo de incendios para el personal UAECOB</v>
      </c>
      <c r="AA886" s="186" t="s">
        <v>222</v>
      </c>
      <c r="AB886" s="172" t="str">
        <f>IFERROR(VLOOKUP(AA886,TD!$N$55:$O$70,2,0)," ")</f>
        <v>Servicio de educación informal</v>
      </c>
      <c r="AC886" s="168" t="str">
        <f>CONCATENATE(AA886,"_",AB886)</f>
        <v>002_Servicio de educación informal</v>
      </c>
      <c r="AD886" s="168" t="str">
        <f>CONCATENATE(Z886," ",AC886)</f>
        <v>07-Servicio de formación en gestión del riesgo de incendios para el personal UAECOB 002_Servicio de educación informal</v>
      </c>
      <c r="AE886" s="172" t="str">
        <f>CONCATENATE(U886,V886,W886,X886,AA886)</f>
        <v>O23011745032024025507002</v>
      </c>
      <c r="AF886" s="172" t="str">
        <f>IFERROR(VLOOKUP(AD886,TD!$J$70:$K$93,2,0)," ")</f>
        <v>PM/0131/0107/45030020255</v>
      </c>
      <c r="AG886" s="114" t="s">
        <v>385</v>
      </c>
      <c r="AH886" s="182" t="s">
        <v>193</v>
      </c>
      <c r="AI886" s="184" t="str">
        <f>CONCATENATE(PAA[[#This Row],[Id Interno]],"-",PAA[[#This Row],[tipo de Contrato (TH talento humano - B/S bienes y/o servicios)]],"-",S886,"-",T886,"-",PAA[[#This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87" spans="2:35" ht="112" x14ac:dyDescent="0.35">
      <c r="B887" s="155">
        <v>20260920</v>
      </c>
      <c r="C887" s="97" t="s">
        <v>1200</v>
      </c>
      <c r="D887" s="97" t="s">
        <v>105</v>
      </c>
      <c r="E887" s="97" t="s">
        <v>363</v>
      </c>
      <c r="F887" s="97" t="s">
        <v>144</v>
      </c>
      <c r="G887" s="124" t="s">
        <v>384</v>
      </c>
      <c r="H887" s="150">
        <v>1</v>
      </c>
      <c r="I887" s="150">
        <v>15</v>
      </c>
      <c r="J887" s="114">
        <v>12600000</v>
      </c>
      <c r="K887" s="148" t="s">
        <v>398</v>
      </c>
      <c r="L887" s="164" t="s">
        <v>154</v>
      </c>
      <c r="M887" s="171" t="s">
        <v>438</v>
      </c>
      <c r="N887" s="97" t="s">
        <v>198</v>
      </c>
      <c r="O887" s="171" t="s">
        <v>887</v>
      </c>
      <c r="P887" s="171" t="s">
        <v>348</v>
      </c>
      <c r="Q887" s="123">
        <v>80111600</v>
      </c>
      <c r="R887" s="171" t="s">
        <v>218</v>
      </c>
      <c r="S887" s="166" t="str">
        <f>MID(PAA[[#This Row],[Meta Proyecto de Inversión]],1,4)</f>
        <v>8173</v>
      </c>
      <c r="T887" s="166" t="str">
        <f>MID(PAA[[#This Row],[Meta Proyecto de Inversión]],6,2)</f>
        <v>9-</v>
      </c>
      <c r="U887" s="172" t="str">
        <f>IFERROR(VLOOKUP(N887,TD!$B$54:$F$58,2,0)," ")</f>
        <v>O230117</v>
      </c>
      <c r="V887" s="172" t="str">
        <f>IFERROR(VLOOKUP(N887,TD!$B$54:$F$58,3,0)," ")</f>
        <v>4503</v>
      </c>
      <c r="W887" s="172">
        <f>IFERROR(VLOOKUP(N887,TD!$B$54:$F$58,4,0)," ")</f>
        <v>20240255</v>
      </c>
      <c r="X887" s="171" t="s">
        <v>172</v>
      </c>
      <c r="Y887" s="172" t="str">
        <f>IFERROR(VLOOKUP(X887,TD!$J$55:$K$68,2,0)," ")</f>
        <v>Servicio de formación en gestión del riesgo de incendios para el personal UAECOB</v>
      </c>
      <c r="Z887" s="168" t="str">
        <f>CONCATENATE(X887,"-",Y887)</f>
        <v>07-Servicio de formación en gestión del riesgo de incendios para el personal UAECOB</v>
      </c>
      <c r="AA887" s="186" t="s">
        <v>222</v>
      </c>
      <c r="AB887" s="172" t="str">
        <f>IFERROR(VLOOKUP(AA887,TD!$N$55:$O$70,2,0)," ")</f>
        <v>Servicio de educación informal</v>
      </c>
      <c r="AC887" s="168" t="str">
        <f>CONCATENATE(AA887,"_",AB887)</f>
        <v>002_Servicio de educación informal</v>
      </c>
      <c r="AD887" s="168" t="str">
        <f>CONCATENATE(Z887," ",AC887)</f>
        <v>07-Servicio de formación en gestión del riesgo de incendios para el personal UAECOB 002_Servicio de educación informal</v>
      </c>
      <c r="AE887" s="172" t="str">
        <f>CONCATENATE(U887,V887,W887,X887,AA887)</f>
        <v>O23011745032024025507002</v>
      </c>
      <c r="AF887" s="172" t="str">
        <f>IFERROR(VLOOKUP(AD887,TD!$J$70:$K$93,2,0)," ")</f>
        <v>PM/0131/0107/45030020255</v>
      </c>
      <c r="AG887" s="114" t="s">
        <v>385</v>
      </c>
      <c r="AH887" s="182" t="s">
        <v>193</v>
      </c>
      <c r="AI887" s="184" t="str">
        <f>CONCATENATE(PAA[[#This Row],[Id Interno]],"-",PAA[[#This Row],[tipo de Contrato (TH talento humano - B/S bienes y/o servicios)]],"-",S887,"-",T887,"-",PAA[[#This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88" spans="2:35" ht="98" x14ac:dyDescent="0.35">
      <c r="B888" s="155">
        <v>20260921</v>
      </c>
      <c r="C888" s="97" t="s">
        <v>1201</v>
      </c>
      <c r="D888" s="97" t="s">
        <v>105</v>
      </c>
      <c r="E888" s="97" t="s">
        <v>363</v>
      </c>
      <c r="F888" s="97" t="s">
        <v>144</v>
      </c>
      <c r="G888" s="124" t="s">
        <v>384</v>
      </c>
      <c r="H888" s="150">
        <v>1</v>
      </c>
      <c r="I888" s="150">
        <v>12</v>
      </c>
      <c r="J888" s="114">
        <v>7700000</v>
      </c>
      <c r="K888" s="148" t="s">
        <v>398</v>
      </c>
      <c r="L888" s="164" t="s">
        <v>154</v>
      </c>
      <c r="M888" s="171" t="s">
        <v>438</v>
      </c>
      <c r="N888" s="97" t="s">
        <v>198</v>
      </c>
      <c r="O888" s="171" t="s">
        <v>887</v>
      </c>
      <c r="P888" s="171" t="s">
        <v>348</v>
      </c>
      <c r="Q888" s="123">
        <v>80111600</v>
      </c>
      <c r="R888" s="171" t="s">
        <v>218</v>
      </c>
      <c r="S888" s="166" t="str">
        <f>MID(PAA[[#This Row],[Meta Proyecto de Inversión]],1,4)</f>
        <v>8173</v>
      </c>
      <c r="T888" s="166" t="str">
        <f>MID(PAA[[#This Row],[Meta Proyecto de Inversión]],6,2)</f>
        <v>9-</v>
      </c>
      <c r="U888" s="172" t="str">
        <f>IFERROR(VLOOKUP(N888,TD!$B$54:$F$58,2,0)," ")</f>
        <v>O230117</v>
      </c>
      <c r="V888" s="172" t="str">
        <f>IFERROR(VLOOKUP(N888,TD!$B$54:$F$58,3,0)," ")</f>
        <v>4503</v>
      </c>
      <c r="W888" s="172">
        <f>IFERROR(VLOOKUP(N888,TD!$B$54:$F$58,4,0)," ")</f>
        <v>20240255</v>
      </c>
      <c r="X888" s="171" t="s">
        <v>172</v>
      </c>
      <c r="Y888" s="172" t="str">
        <f>IFERROR(VLOOKUP(X888,TD!$J$55:$K$68,2,0)," ")</f>
        <v>Servicio de formación en gestión del riesgo de incendios para el personal UAECOB</v>
      </c>
      <c r="Z888" s="168" t="str">
        <f>CONCATENATE(X888,"-",Y888)</f>
        <v>07-Servicio de formación en gestión del riesgo de incendios para el personal UAECOB</v>
      </c>
      <c r="AA888" s="186" t="s">
        <v>222</v>
      </c>
      <c r="AB888" s="172" t="str">
        <f>IFERROR(VLOOKUP(AA888,TD!$N$55:$O$70,2,0)," ")</f>
        <v>Servicio de educación informal</v>
      </c>
      <c r="AC888" s="168" t="str">
        <f>CONCATENATE(AA888,"_",AB888)</f>
        <v>002_Servicio de educación informal</v>
      </c>
      <c r="AD888" s="168" t="str">
        <f>CONCATENATE(Z888," ",AC888)</f>
        <v>07-Servicio de formación en gestión del riesgo de incendios para el personal UAECOB 002_Servicio de educación informal</v>
      </c>
      <c r="AE888" s="172" t="str">
        <f>CONCATENATE(U888,V888,W888,X888,AA888)</f>
        <v>O23011745032024025507002</v>
      </c>
      <c r="AF888" s="172" t="str">
        <f>IFERROR(VLOOKUP(AD888,TD!$J$70:$K$93,2,0)," ")</f>
        <v>PM/0131/0107/45030020255</v>
      </c>
      <c r="AG888" s="114" t="s">
        <v>385</v>
      </c>
      <c r="AH888" s="182" t="s">
        <v>193</v>
      </c>
      <c r="AI888" s="184" t="str">
        <f>CONCATENATE(PAA[[#This Row],[Id Interno]],"-",PAA[[#This Row],[tipo de Contrato (TH talento humano - B/S bienes y/o servicios)]],"-",S888,"-",T888,"-",PAA[[#This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89" spans="2:35" ht="98" x14ac:dyDescent="0.35">
      <c r="B889" s="155">
        <v>20260922</v>
      </c>
      <c r="C889" s="97" t="s">
        <v>1202</v>
      </c>
      <c r="D889" s="97" t="s">
        <v>105</v>
      </c>
      <c r="E889" s="97" t="s">
        <v>363</v>
      </c>
      <c r="F889" s="97" t="s">
        <v>144</v>
      </c>
      <c r="G889" s="124" t="s">
        <v>384</v>
      </c>
      <c r="H889" s="150">
        <v>1</v>
      </c>
      <c r="I889" s="150">
        <v>12</v>
      </c>
      <c r="J889" s="114">
        <v>11200000</v>
      </c>
      <c r="K889" s="148" t="s">
        <v>398</v>
      </c>
      <c r="L889" s="164" t="s">
        <v>154</v>
      </c>
      <c r="M889" s="171" t="s">
        <v>438</v>
      </c>
      <c r="N889" s="97" t="s">
        <v>198</v>
      </c>
      <c r="O889" s="171" t="s">
        <v>887</v>
      </c>
      <c r="P889" s="171" t="s">
        <v>348</v>
      </c>
      <c r="Q889" s="123">
        <v>80111600</v>
      </c>
      <c r="R889" s="171" t="s">
        <v>218</v>
      </c>
      <c r="S889" s="166" t="str">
        <f>MID(PAA[[#This Row],[Meta Proyecto de Inversión]],1,4)</f>
        <v>8173</v>
      </c>
      <c r="T889" s="166" t="str">
        <f>MID(PAA[[#This Row],[Meta Proyecto de Inversión]],6,2)</f>
        <v>9-</v>
      </c>
      <c r="U889" s="172" t="str">
        <f>IFERROR(VLOOKUP(N889,TD!$B$54:$F$58,2,0)," ")</f>
        <v>O230117</v>
      </c>
      <c r="V889" s="172" t="str">
        <f>IFERROR(VLOOKUP(N889,TD!$B$54:$F$58,3,0)," ")</f>
        <v>4503</v>
      </c>
      <c r="W889" s="172">
        <f>IFERROR(VLOOKUP(N889,TD!$B$54:$F$58,4,0)," ")</f>
        <v>20240255</v>
      </c>
      <c r="X889" s="171" t="s">
        <v>172</v>
      </c>
      <c r="Y889" s="172" t="str">
        <f>IFERROR(VLOOKUP(X889,TD!$J$55:$K$68,2,0)," ")</f>
        <v>Servicio de formación en gestión del riesgo de incendios para el personal UAECOB</v>
      </c>
      <c r="Z889" s="168" t="str">
        <f>CONCATENATE(X889,"-",Y889)</f>
        <v>07-Servicio de formación en gestión del riesgo de incendios para el personal UAECOB</v>
      </c>
      <c r="AA889" s="186" t="s">
        <v>222</v>
      </c>
      <c r="AB889" s="172" t="str">
        <f>IFERROR(VLOOKUP(AA889,TD!$N$55:$O$70,2,0)," ")</f>
        <v>Servicio de educación informal</v>
      </c>
      <c r="AC889" s="168" t="str">
        <f>CONCATENATE(AA889,"_",AB889)</f>
        <v>002_Servicio de educación informal</v>
      </c>
      <c r="AD889" s="168" t="str">
        <f>CONCATENATE(Z889," ",AC889)</f>
        <v>07-Servicio de formación en gestión del riesgo de incendios para el personal UAECOB 002_Servicio de educación informal</v>
      </c>
      <c r="AE889" s="172" t="str">
        <f>CONCATENATE(U889,V889,W889,X889,AA889)</f>
        <v>O23011745032024025507002</v>
      </c>
      <c r="AF889" s="172" t="str">
        <f>IFERROR(VLOOKUP(AD889,TD!$J$70:$K$93,2,0)," ")</f>
        <v>PM/0131/0107/45030020255</v>
      </c>
      <c r="AG889" s="114" t="s">
        <v>385</v>
      </c>
      <c r="AH889" s="182" t="s">
        <v>193</v>
      </c>
      <c r="AI889" s="184" t="str">
        <f>CONCATENATE(PAA[[#This Row],[Id Interno]],"-",PAA[[#This Row],[tipo de Contrato (TH talento humano - B/S bienes y/o servicios)]],"-",S889,"-",T889,"-",PAA[[#This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90" spans="2:35" ht="98" x14ac:dyDescent="0.35">
      <c r="B890" s="146">
        <v>20260923</v>
      </c>
      <c r="C890" s="117" t="s">
        <v>1222</v>
      </c>
      <c r="D890" s="117" t="s">
        <v>105</v>
      </c>
      <c r="E890" s="117" t="s">
        <v>363</v>
      </c>
      <c r="F890" s="117" t="s">
        <v>144</v>
      </c>
      <c r="G890" s="126" t="s">
        <v>384</v>
      </c>
      <c r="H890" s="147">
        <v>1</v>
      </c>
      <c r="I890" s="147">
        <v>15</v>
      </c>
      <c r="J890" s="130">
        <v>15600000</v>
      </c>
      <c r="K890" s="148" t="s">
        <v>398</v>
      </c>
      <c r="L890" s="177" t="s">
        <v>154</v>
      </c>
      <c r="M890" s="186" t="s">
        <v>438</v>
      </c>
      <c r="N890" s="117" t="s">
        <v>198</v>
      </c>
      <c r="O890" s="186" t="s">
        <v>887</v>
      </c>
      <c r="P890" s="186" t="s">
        <v>348</v>
      </c>
      <c r="Q890" s="149">
        <v>80111600</v>
      </c>
      <c r="R890" s="186" t="s">
        <v>218</v>
      </c>
      <c r="S890" s="174" t="str">
        <f>MID(PAA[[#This Row],[Meta Proyecto de Inversión]],1,4)</f>
        <v>8173</v>
      </c>
      <c r="T890" s="174" t="str">
        <f>MID(PAA[[#This Row],[Meta Proyecto de Inversión]],6,2)</f>
        <v>9-</v>
      </c>
      <c r="U890" s="187" t="str">
        <f>IFERROR(VLOOKUP(N890,TD!$B$54:$F$58,2,0)," ")</f>
        <v>O230117</v>
      </c>
      <c r="V890" s="187" t="str">
        <f>IFERROR(VLOOKUP(N890,TD!$B$54:$F$58,3,0)," ")</f>
        <v>4503</v>
      </c>
      <c r="W890" s="187">
        <f>IFERROR(VLOOKUP(N890,TD!$B$54:$F$58,4,0)," ")</f>
        <v>20240255</v>
      </c>
      <c r="X890" s="171" t="s">
        <v>172</v>
      </c>
      <c r="Y890" s="172" t="str">
        <f>IFERROR(VLOOKUP(X890,TD!$J$55:$K$68,2,0)," ")</f>
        <v>Servicio de formación en gestión del riesgo de incendios para el personal UAECOB</v>
      </c>
      <c r="Z890" s="180" t="str">
        <f>CONCATENATE(X890,"-",Y890)</f>
        <v>07-Servicio de formación en gestión del riesgo de incendios para el personal UAECOB</v>
      </c>
      <c r="AA890" s="186" t="s">
        <v>222</v>
      </c>
      <c r="AB890" s="172" t="str">
        <f>IFERROR(VLOOKUP(AA890,TD!$N$55:$O$70,2,0)," ")</f>
        <v>Servicio de educación informal</v>
      </c>
      <c r="AC890" s="180" t="str">
        <f>CONCATENATE(AA890,"_",AB890)</f>
        <v>002_Servicio de educación informal</v>
      </c>
      <c r="AD890" s="180" t="str">
        <f>CONCATENATE(Z890," ",AC890)</f>
        <v>07-Servicio de formación en gestión del riesgo de incendios para el personal UAECOB 002_Servicio de educación informal</v>
      </c>
      <c r="AE890" s="187" t="str">
        <f>CONCATENATE(U890,V890,W890,X890,AA890)</f>
        <v>O23011745032024025507002</v>
      </c>
      <c r="AF890" s="172" t="str">
        <f>IFERROR(VLOOKUP(AD890,TD!$J$70:$K$93,2,0)," ")</f>
        <v>PM/0131/0107/45030020255</v>
      </c>
      <c r="AG890" s="114" t="s">
        <v>385</v>
      </c>
      <c r="AH890" s="182" t="s">
        <v>194</v>
      </c>
      <c r="AI890" s="184" t="str">
        <f>CONCATENATE(PAA[[#This Row],[Id Interno]],"-",PAA[[#This Row],[tipo de Contrato (TH talento humano - B/S bienes y/o servicios)]],"-",S890,"-",T890,"-",PAA[[#This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91" spans="2:35" ht="126" x14ac:dyDescent="0.35">
      <c r="B891" s="146">
        <v>20260924</v>
      </c>
      <c r="C891" s="117" t="s">
        <v>1203</v>
      </c>
      <c r="D891" s="117" t="s">
        <v>105</v>
      </c>
      <c r="E891" s="117" t="s">
        <v>363</v>
      </c>
      <c r="F891" s="117" t="s">
        <v>144</v>
      </c>
      <c r="G891" s="126" t="s">
        <v>384</v>
      </c>
      <c r="H891" s="147">
        <v>2</v>
      </c>
      <c r="I891" s="147">
        <v>0</v>
      </c>
      <c r="J891" s="130">
        <v>12200000</v>
      </c>
      <c r="K891" s="148" t="s">
        <v>398</v>
      </c>
      <c r="L891" s="177" t="s">
        <v>154</v>
      </c>
      <c r="M891" s="186" t="s">
        <v>438</v>
      </c>
      <c r="N891" s="117" t="s">
        <v>198</v>
      </c>
      <c r="O891" s="186" t="s">
        <v>887</v>
      </c>
      <c r="P891" s="186" t="s">
        <v>348</v>
      </c>
      <c r="Q891" s="149">
        <v>80111600</v>
      </c>
      <c r="R891" s="186" t="s">
        <v>218</v>
      </c>
      <c r="S891" s="174" t="str">
        <f>MID(PAA[[#This Row],[Meta Proyecto de Inversión]],1,4)</f>
        <v>8173</v>
      </c>
      <c r="T891" s="174" t="str">
        <f>MID(PAA[[#This Row],[Meta Proyecto de Inversión]],6,2)</f>
        <v>9-</v>
      </c>
      <c r="U891" s="187" t="str">
        <f>IFERROR(VLOOKUP(N891,TD!$B$54:$F$58,2,0)," ")</f>
        <v>O230117</v>
      </c>
      <c r="V891" s="187" t="str">
        <f>IFERROR(VLOOKUP(N891,TD!$B$54:$F$58,3,0)," ")</f>
        <v>4503</v>
      </c>
      <c r="W891" s="187">
        <f>IFERROR(VLOOKUP(N891,TD!$B$54:$F$58,4,0)," ")</f>
        <v>20240255</v>
      </c>
      <c r="X891" s="171" t="s">
        <v>172</v>
      </c>
      <c r="Y891" s="172" t="str">
        <f>IFERROR(VLOOKUP(X891,TD!$J$55:$K$68,2,0)," ")</f>
        <v>Servicio de formación en gestión del riesgo de incendios para el personal UAECOB</v>
      </c>
      <c r="Z891" s="180" t="str">
        <f>CONCATENATE(X891,"-",Y891)</f>
        <v>07-Servicio de formación en gestión del riesgo de incendios para el personal UAECOB</v>
      </c>
      <c r="AA891" s="186" t="s">
        <v>222</v>
      </c>
      <c r="AB891" s="172" t="str">
        <f>IFERROR(VLOOKUP(AA891,TD!$N$55:$O$70,2,0)," ")</f>
        <v>Servicio de educación informal</v>
      </c>
      <c r="AC891" s="180" t="str">
        <f>CONCATENATE(AA891,"_",AB891)</f>
        <v>002_Servicio de educación informal</v>
      </c>
      <c r="AD891" s="180" t="str">
        <f>CONCATENATE(Z891," ",AC891)</f>
        <v>07-Servicio de formación en gestión del riesgo de incendios para el personal UAECOB 002_Servicio de educación informal</v>
      </c>
      <c r="AE891" s="187" t="str">
        <f>CONCATENATE(U891,V891,W891,X891,AA891)</f>
        <v>O23011745032024025507002</v>
      </c>
      <c r="AF891" s="172" t="str">
        <f>IFERROR(VLOOKUP(AD891,TD!$J$70:$K$93,2,0)," ")</f>
        <v>PM/0131/0107/45030020255</v>
      </c>
      <c r="AG891" s="114" t="s">
        <v>385</v>
      </c>
      <c r="AH891" s="182" t="s">
        <v>193</v>
      </c>
      <c r="AI891" s="184" t="str">
        <f>CONCATENATE(PAA[[#This Row],[Id Interno]],"-",PAA[[#This Row],[tipo de Contrato (TH talento humano - B/S bienes y/o servicios)]],"-",S891,"-",T891,"-",PAA[[#This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892" spans="2:35" ht="98" x14ac:dyDescent="0.35">
      <c r="B892" s="143">
        <v>20260925</v>
      </c>
      <c r="C892" s="97" t="s">
        <v>1204</v>
      </c>
      <c r="D892" s="23" t="s">
        <v>105</v>
      </c>
      <c r="E892" s="23" t="s">
        <v>363</v>
      </c>
      <c r="F892" s="23" t="s">
        <v>144</v>
      </c>
      <c r="G892" s="124" t="s">
        <v>384</v>
      </c>
      <c r="H892" s="131">
        <v>1</v>
      </c>
      <c r="I892" s="131">
        <v>15</v>
      </c>
      <c r="J892" s="122">
        <v>13200000</v>
      </c>
      <c r="K892" s="88" t="s">
        <v>398</v>
      </c>
      <c r="L892" s="163" t="s">
        <v>154</v>
      </c>
      <c r="M892" s="166" t="s">
        <v>438</v>
      </c>
      <c r="N892" s="23" t="s">
        <v>198</v>
      </c>
      <c r="O892" s="166" t="s">
        <v>887</v>
      </c>
      <c r="P892" s="166" t="s">
        <v>348</v>
      </c>
      <c r="Q892" s="53">
        <v>80111600</v>
      </c>
      <c r="R892" s="166" t="s">
        <v>218</v>
      </c>
      <c r="S892" s="166" t="str">
        <f>MID(PAA[[#This Row],[Meta Proyecto de Inversión]],1,4)</f>
        <v>8173</v>
      </c>
      <c r="T892" s="166" t="str">
        <f>MID(PAA[[#This Row],[Meta Proyecto de Inversión]],6,2)</f>
        <v>9-</v>
      </c>
      <c r="U892" s="167" t="str">
        <f>IFERROR(VLOOKUP(N892,TD!$B$54:$F$58,2,0)," ")</f>
        <v>O230117</v>
      </c>
      <c r="V892" s="167" t="str">
        <f>IFERROR(VLOOKUP(N892,TD!$B$54:$F$58,3,0)," ")</f>
        <v>4503</v>
      </c>
      <c r="W892" s="167">
        <f>IFERROR(VLOOKUP(N892,TD!$B$54:$F$58,4,0)," ")</f>
        <v>20240255</v>
      </c>
      <c r="X892" s="166" t="s">
        <v>172</v>
      </c>
      <c r="Y892" s="172" t="str">
        <f>IFERROR(VLOOKUP(X892,TD!$J$55:$K$68,2,0)," ")</f>
        <v>Servicio de formación en gestión del riesgo de incendios para el personal UAECOB</v>
      </c>
      <c r="Z892" s="168" t="str">
        <f>CONCATENATE(X892,"-",Y892)</f>
        <v>07-Servicio de formación en gestión del riesgo de incendios para el personal UAECOB</v>
      </c>
      <c r="AA892" s="166" t="s">
        <v>222</v>
      </c>
      <c r="AB892" s="172" t="str">
        <f>IFERROR(VLOOKUP(AA892,TD!$N$55:$O$70,2,0)," ")</f>
        <v>Servicio de educación informal</v>
      </c>
      <c r="AC892" s="168" t="str">
        <f>CONCATENATE(AA892,"_",AB892)</f>
        <v>002_Servicio de educación informal</v>
      </c>
      <c r="AD892" s="168" t="str">
        <f>CONCATENATE(Z892," ",AC892)</f>
        <v>07-Servicio de formación en gestión del riesgo de incendios para el personal UAECOB 002_Servicio de educación informal</v>
      </c>
      <c r="AE892" s="167" t="str">
        <f>CONCATENATE(U892,V892,W892,X892,AA892)</f>
        <v>O23011745032024025507002</v>
      </c>
      <c r="AF892" s="172" t="str">
        <f>IFERROR(VLOOKUP(AD892,TD!$J$70:$K$93,2,0)," ")</f>
        <v>PM/0131/0107/45030020255</v>
      </c>
      <c r="AG892" s="114" t="s">
        <v>385</v>
      </c>
      <c r="AH892" s="175" t="s">
        <v>194</v>
      </c>
      <c r="AI892" s="184" t="str">
        <f>CONCATENATE(PAA[[#This Row],[Id Interno]],"-",PAA[[#This Row],[tipo de Contrato (TH talento humano - B/S bienes y/o servicios)]],"-",S892,"-",T892,"-",PAA[[#This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893" spans="2:35" ht="140" x14ac:dyDescent="0.35">
      <c r="B893" s="143">
        <v>20260929</v>
      </c>
      <c r="C893" s="97" t="s">
        <v>1306</v>
      </c>
      <c r="D893" s="23" t="s">
        <v>88</v>
      </c>
      <c r="E893" s="23" t="s">
        <v>402</v>
      </c>
      <c r="F893" s="23" t="s">
        <v>111</v>
      </c>
      <c r="G893" s="124" t="s">
        <v>380</v>
      </c>
      <c r="H893" s="131">
        <v>1</v>
      </c>
      <c r="I893" s="131">
        <v>0</v>
      </c>
      <c r="J893" s="122">
        <v>15000000</v>
      </c>
      <c r="K893" s="88" t="s">
        <v>398</v>
      </c>
      <c r="L893" s="163" t="s">
        <v>157</v>
      </c>
      <c r="M893" s="166" t="s">
        <v>483</v>
      </c>
      <c r="N893" s="23" t="s">
        <v>198</v>
      </c>
      <c r="O893" s="166" t="s">
        <v>887</v>
      </c>
      <c r="P893" s="166" t="s">
        <v>348</v>
      </c>
      <c r="Q893" s="53">
        <v>25172500</v>
      </c>
      <c r="R893" s="166" t="s">
        <v>213</v>
      </c>
      <c r="S893" s="166" t="str">
        <f>MID(PAA[[#This Row],[Meta Proyecto de Inversión]],1,4)</f>
        <v>8173</v>
      </c>
      <c r="T893" s="166" t="str">
        <f>MID(PAA[[#This Row],[Meta Proyecto de Inversión]],6,2)</f>
        <v>4-</v>
      </c>
      <c r="U893" s="167" t="str">
        <f>IFERROR(VLOOKUP(N893,TD!$B$54:$F$58,2,0)," ")</f>
        <v>O230117</v>
      </c>
      <c r="V893" s="167" t="str">
        <f>IFERROR(VLOOKUP(N893,TD!$B$54:$F$58,3,0)," ")</f>
        <v>4503</v>
      </c>
      <c r="W893" s="167">
        <f>IFERROR(VLOOKUP(N893,TD!$B$54:$F$58,4,0)," ")</f>
        <v>20240255</v>
      </c>
      <c r="X893" s="166" t="s">
        <v>176</v>
      </c>
      <c r="Y893" s="172" t="str">
        <f>IFERROR(VLOOKUP(X893,TD!$J$55:$K$68,2,0)," ")</f>
        <v>Servicio de mantenimiento, dotación (HEA´s y equipo menor) y adquisición de vehiculos   especializados para la atención de emergencias.</v>
      </c>
      <c r="Z893" s="168" t="str">
        <f>CONCATENATE(X893,"-",Y893)</f>
        <v>09-Servicio de mantenimiento, dotación (HEA´s y equipo menor) y adquisición de vehiculos   especializados para la atención de emergencias.</v>
      </c>
      <c r="AA893" s="166" t="s">
        <v>221</v>
      </c>
      <c r="AB893" s="172" t="str">
        <f>IFERROR(VLOOKUP(AA893,TD!$N$55:$O$70,2,0)," ")</f>
        <v>Servicio de atención a emergencias y desastres</v>
      </c>
      <c r="AC893" s="168" t="str">
        <f>CONCATENATE(AA893,"_",AB893)</f>
        <v>004_Servicio de atención a emergencias y desastres</v>
      </c>
      <c r="AD893" s="168" t="str">
        <f>CONCATENATE(Z893," ",AC893)</f>
        <v>09-Servicio de mantenimiento, dotación (HEA´s y equipo menor) y adquisición de vehiculos   especializados para la atención de emergencias. 004_Servicio de atención a emergencias y desastres</v>
      </c>
      <c r="AE893" s="167" t="str">
        <f>CONCATENATE(U893,V893,W893,X893,AA893)</f>
        <v>O23011745032024025509004</v>
      </c>
      <c r="AF893" s="172" t="str">
        <f>IFERROR(VLOOKUP(AD893,TD!$J$70:$K$93,2,0)," ")</f>
        <v>PM/0131/0109/45030040255</v>
      </c>
      <c r="AG893" s="114" t="s">
        <v>547</v>
      </c>
      <c r="AH893" s="175" t="s">
        <v>194</v>
      </c>
      <c r="AI893" s="184" t="str">
        <f>CONCATENATE(PAA[[#This Row],[Id Interno]],"-",PAA[[#This Row],[tipo de Contrato (TH talento humano - B/S bienes y/o servicios)]],"-",S893,"-",T893,"-",PAA[[#This Row],[Objeto de la contratación]])</f>
        <v>20260929-BS-8173-4--Adición y prorroga al Contrato 732-2025 cuyo objeto “Prestar el servicio de instalación, alineación, balanceo y conexos, incluyendo el suministro de llantas a los vehículos del parque automotor de la U.A.E. Cuerpo Oficial de Bomberos de Bogotá - SBLG.”</v>
      </c>
    </row>
    <row r="894" spans="2:35" ht="70" x14ac:dyDescent="0.35">
      <c r="B894" s="143">
        <v>20260930</v>
      </c>
      <c r="C894" s="97" t="s">
        <v>1206</v>
      </c>
      <c r="D894" s="23" t="s">
        <v>105</v>
      </c>
      <c r="E894" s="23" t="s">
        <v>363</v>
      </c>
      <c r="F894" s="23" t="s">
        <v>145</v>
      </c>
      <c r="G894" s="124" t="s">
        <v>380</v>
      </c>
      <c r="H894" s="131">
        <v>3</v>
      </c>
      <c r="I894" s="131">
        <v>0</v>
      </c>
      <c r="J894" s="122">
        <v>10800000</v>
      </c>
      <c r="K894" s="88" t="s">
        <v>398</v>
      </c>
      <c r="L894" s="163" t="s">
        <v>157</v>
      </c>
      <c r="M894" s="166" t="s">
        <v>483</v>
      </c>
      <c r="N894" s="23" t="s">
        <v>198</v>
      </c>
      <c r="O894" s="166" t="s">
        <v>887</v>
      </c>
      <c r="P894" s="166" t="s">
        <v>348</v>
      </c>
      <c r="Q894" s="53">
        <v>80111600</v>
      </c>
      <c r="R894" s="166" t="s">
        <v>213</v>
      </c>
      <c r="S894" s="166" t="str">
        <f>MID(PAA[[#This Row],[Meta Proyecto de Inversión]],1,4)</f>
        <v>8173</v>
      </c>
      <c r="T894" s="166" t="str">
        <f>MID(PAA[[#This Row],[Meta Proyecto de Inversión]],6,2)</f>
        <v>4-</v>
      </c>
      <c r="U894" s="167" t="str">
        <f>IFERROR(VLOOKUP(N894,TD!$B$54:$F$58,2,0)," ")</f>
        <v>O230117</v>
      </c>
      <c r="V894" s="167" t="str">
        <f>IFERROR(VLOOKUP(N894,TD!$B$54:$F$58,3,0)," ")</f>
        <v>4503</v>
      </c>
      <c r="W894" s="167">
        <f>IFERROR(VLOOKUP(N894,TD!$B$54:$F$58,4,0)," ")</f>
        <v>20240255</v>
      </c>
      <c r="X894" s="166" t="s">
        <v>176</v>
      </c>
      <c r="Y894" s="172" t="str">
        <f>IFERROR(VLOOKUP(X894,TD!$J$55:$K$68,2,0)," ")</f>
        <v>Servicio de mantenimiento, dotación (HEA´s y equipo menor) y adquisición de vehiculos   especializados para la atención de emergencias.</v>
      </c>
      <c r="Z894" s="168" t="str">
        <f>CONCATENATE(X894,"-",Y894)</f>
        <v>09-Servicio de mantenimiento, dotación (HEA´s y equipo menor) y adquisición de vehiculos   especializados para la atención de emergencias.</v>
      </c>
      <c r="AA894" s="166" t="s">
        <v>221</v>
      </c>
      <c r="AB894" s="172" t="str">
        <f>IFERROR(VLOOKUP(AA894,TD!$N$55:$O$70,2,0)," ")</f>
        <v>Servicio de atención a emergencias y desastres</v>
      </c>
      <c r="AC894" s="168" t="str">
        <f>CONCATENATE(AA894,"_",AB894)</f>
        <v>004_Servicio de atención a emergencias y desastres</v>
      </c>
      <c r="AD894" s="168" t="str">
        <f>CONCATENATE(Z894," ",AC894)</f>
        <v>09-Servicio de mantenimiento, dotación (HEA´s y equipo menor) y adquisición de vehiculos   especializados para la atención de emergencias. 004_Servicio de atención a emergencias y desastres</v>
      </c>
      <c r="AE894" s="167" t="str">
        <f>CONCATENATE(U894,V894,W894,X894,AA894)</f>
        <v>O23011745032024025509004</v>
      </c>
      <c r="AF894" s="172" t="str">
        <f>IFERROR(VLOOKUP(AD894,TD!$J$70:$K$93,2,0)," ")</f>
        <v>PM/0131/0109/45030040255</v>
      </c>
      <c r="AG894" s="114" t="s">
        <v>385</v>
      </c>
      <c r="AH894" s="175" t="s">
        <v>194</v>
      </c>
      <c r="AI894" s="184" t="str">
        <f>CONCATENATE(PAA[[#This Row],[Id Interno]],"-",PAA[[#This Row],[tipo de Contrato (TH talento humano - B/S bienes y/o servicios)]],"-",S894,"-",T894,"-",PAA[[#This Row],[Objeto de la contratación]])</f>
        <v>20260930-TH-8173-4--Adicion y prorroga al contrato 261-2026 cuyo objeto es: "Prestar servicios de apoyo técnico en las herramientas tecnologicas para el desarrollo de las estrategias de la Subdirección  Logística-SBLG"</v>
      </c>
    </row>
    <row r="895" spans="2:35" ht="56" x14ac:dyDescent="0.35">
      <c r="B895" s="143">
        <v>20260931</v>
      </c>
      <c r="C895" s="97" t="s">
        <v>772</v>
      </c>
      <c r="D895" s="23" t="s">
        <v>105</v>
      </c>
      <c r="E895" s="23" t="s">
        <v>363</v>
      </c>
      <c r="F895" s="23" t="s">
        <v>144</v>
      </c>
      <c r="G895" s="124" t="s">
        <v>380</v>
      </c>
      <c r="H895" s="131">
        <v>4</v>
      </c>
      <c r="I895" s="131">
        <v>0</v>
      </c>
      <c r="J895" s="122">
        <v>26000000</v>
      </c>
      <c r="K895" s="88" t="s">
        <v>398</v>
      </c>
      <c r="L895" s="163" t="s">
        <v>157</v>
      </c>
      <c r="M895" s="166" t="s">
        <v>483</v>
      </c>
      <c r="N895" s="23" t="s">
        <v>198</v>
      </c>
      <c r="O895" s="166" t="s">
        <v>887</v>
      </c>
      <c r="P895" s="166" t="s">
        <v>348</v>
      </c>
      <c r="Q895" s="53">
        <v>80111600</v>
      </c>
      <c r="R895" s="166" t="s">
        <v>213</v>
      </c>
      <c r="S895" s="166" t="str">
        <f>MID(PAA[[#This Row],[Meta Proyecto de Inversión]],1,4)</f>
        <v>8173</v>
      </c>
      <c r="T895" s="166" t="str">
        <f>MID(PAA[[#This Row],[Meta Proyecto de Inversión]],6,2)</f>
        <v>4-</v>
      </c>
      <c r="U895" s="167" t="str">
        <f>IFERROR(VLOOKUP(N895,TD!$B$54:$F$58,2,0)," ")</f>
        <v>O230117</v>
      </c>
      <c r="V895" s="167" t="str">
        <f>IFERROR(VLOOKUP(N895,TD!$B$54:$F$58,3,0)," ")</f>
        <v>4503</v>
      </c>
      <c r="W895" s="167">
        <f>IFERROR(VLOOKUP(N895,TD!$B$54:$F$58,4,0)," ")</f>
        <v>20240255</v>
      </c>
      <c r="X895" s="166" t="s">
        <v>180</v>
      </c>
      <c r="Y895" s="172" t="str">
        <f>IFERROR(VLOOKUP(X895,TD!$J$55:$K$68,2,0)," ")</f>
        <v>Servicio de apoyo   logístico  en eventos operativos y/o emergencias.</v>
      </c>
      <c r="Z895" s="168" t="str">
        <f>CONCATENATE(X895,"-",Y895)</f>
        <v>12-Servicio de apoyo   logístico  en eventos operativos y/o emergencias.</v>
      </c>
      <c r="AA895" s="166" t="s">
        <v>221</v>
      </c>
      <c r="AB895" s="172" t="str">
        <f>IFERROR(VLOOKUP(AA895,TD!$N$55:$O$70,2,0)," ")</f>
        <v>Servicio de atención a emergencias y desastres</v>
      </c>
      <c r="AC895" s="168" t="str">
        <f>CONCATENATE(AA895,"_",AB895)</f>
        <v>004_Servicio de atención a emergencias y desastres</v>
      </c>
      <c r="AD895" s="168" t="str">
        <f>CONCATENATE(Z895," ",AC895)</f>
        <v>12-Servicio de apoyo   logístico  en eventos operativos y/o emergencias. 004_Servicio de atención a emergencias y desastres</v>
      </c>
      <c r="AE895" s="167" t="str">
        <f>CONCATENATE(U895,V895,W895,X895,AA895)</f>
        <v>O23011745032024025512004</v>
      </c>
      <c r="AF895" s="172" t="str">
        <f>IFERROR(VLOOKUP(AD895,TD!$J$70:$K$93,2,0)," ")</f>
        <v>PM/0131/0112/45030040255</v>
      </c>
      <c r="AG895" s="114" t="s">
        <v>385</v>
      </c>
      <c r="AH895" s="175" t="s">
        <v>193</v>
      </c>
      <c r="AI895" s="184" t="str">
        <f>CONCATENATE(PAA[[#This Row],[Id Interno]],"-",PAA[[#This Row],[tipo de Contrato (TH talento humano - B/S bienes y/o servicios)]],"-",S895,"-",T895,"-",PAA[[#This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896" spans="2:35" ht="56" x14ac:dyDescent="0.35">
      <c r="B896" s="143">
        <v>20260932</v>
      </c>
      <c r="C896" s="97" t="s">
        <v>856</v>
      </c>
      <c r="D896" s="23" t="s">
        <v>105</v>
      </c>
      <c r="E896" s="23" t="s">
        <v>363</v>
      </c>
      <c r="F896" s="23" t="s">
        <v>145</v>
      </c>
      <c r="G896" s="124" t="s">
        <v>380</v>
      </c>
      <c r="H896" s="131">
        <v>3</v>
      </c>
      <c r="I896" s="131">
        <v>0</v>
      </c>
      <c r="J896" s="122">
        <v>10800000</v>
      </c>
      <c r="K896" s="88" t="s">
        <v>398</v>
      </c>
      <c r="L896" s="163" t="s">
        <v>157</v>
      </c>
      <c r="M896" s="166" t="s">
        <v>483</v>
      </c>
      <c r="N896" s="23" t="s">
        <v>198</v>
      </c>
      <c r="O896" s="166" t="s">
        <v>887</v>
      </c>
      <c r="P896" s="166" t="s">
        <v>348</v>
      </c>
      <c r="Q896" s="53">
        <v>80111600</v>
      </c>
      <c r="R896" s="166" t="s">
        <v>213</v>
      </c>
      <c r="S896" s="166" t="str">
        <f>MID(PAA[[#This Row],[Meta Proyecto de Inversión]],1,4)</f>
        <v>8173</v>
      </c>
      <c r="T896" s="166" t="str">
        <f>MID(PAA[[#This Row],[Meta Proyecto de Inversión]],6,2)</f>
        <v>4-</v>
      </c>
      <c r="U896" s="167" t="str">
        <f>IFERROR(VLOOKUP(N896,TD!$B$54:$F$58,2,0)," ")</f>
        <v>O230117</v>
      </c>
      <c r="V896" s="167" t="str">
        <f>IFERROR(VLOOKUP(N896,TD!$B$54:$F$58,3,0)," ")</f>
        <v>4503</v>
      </c>
      <c r="W896" s="167">
        <f>IFERROR(VLOOKUP(N896,TD!$B$54:$F$58,4,0)," ")</f>
        <v>20240255</v>
      </c>
      <c r="X896" s="166" t="s">
        <v>176</v>
      </c>
      <c r="Y896" s="172" t="str">
        <f>IFERROR(VLOOKUP(X896,TD!$J$55:$K$68,2,0)," ")</f>
        <v>Servicio de mantenimiento, dotación (HEA´s y equipo menor) y adquisición de vehiculos   especializados para la atención de emergencias.</v>
      </c>
      <c r="Z896" s="168" t="str">
        <f>CONCATENATE(X896,"-",Y896)</f>
        <v>09-Servicio de mantenimiento, dotación (HEA´s y equipo menor) y adquisición de vehiculos   especializados para la atención de emergencias.</v>
      </c>
      <c r="AA896" s="166" t="s">
        <v>221</v>
      </c>
      <c r="AB896" s="172" t="str">
        <f>IFERROR(VLOOKUP(AA896,TD!$N$55:$O$70,2,0)," ")</f>
        <v>Servicio de atención a emergencias y desastres</v>
      </c>
      <c r="AC896" s="168" t="str">
        <f>CONCATENATE(AA896,"_",AB896)</f>
        <v>004_Servicio de atención a emergencias y desastres</v>
      </c>
      <c r="AD896" s="168" t="str">
        <f>CONCATENATE(Z896," ",AC896)</f>
        <v>09-Servicio de mantenimiento, dotación (HEA´s y equipo menor) y adquisición de vehiculos   especializados para la atención de emergencias. 004_Servicio de atención a emergencias y desastres</v>
      </c>
      <c r="AE896" s="167" t="str">
        <f>CONCATENATE(U896,V896,W896,X896,AA896)</f>
        <v>O23011745032024025509004</v>
      </c>
      <c r="AF896" s="172" t="str">
        <f>IFERROR(VLOOKUP(AD896,TD!$J$70:$K$93,2,0)," ")</f>
        <v>PM/0131/0109/45030040255</v>
      </c>
      <c r="AG896" s="114" t="s">
        <v>385</v>
      </c>
      <c r="AH896" s="175" t="s">
        <v>193</v>
      </c>
      <c r="AI896" s="184" t="str">
        <f>CONCATENATE(PAA[[#This Row],[Id Interno]],"-",PAA[[#This Row],[tipo de Contrato (TH talento humano - B/S bienes y/o servicios)]],"-",S896,"-",T896,"-",PAA[[#This Row],[Objeto de la contratación]])</f>
        <v>20260932-TH-8173-4--Prestación de servicios de apoyo a la gestión para realizar actividades documentales, administrativas relacionadas para el desarrollo de las estrategias de la Subdirección Logística. SBLG</v>
      </c>
    </row>
    <row r="897" spans="2:35" ht="56" x14ac:dyDescent="0.35">
      <c r="B897" s="143">
        <v>20260933</v>
      </c>
      <c r="C897" s="97" t="s">
        <v>780</v>
      </c>
      <c r="D897" s="23" t="s">
        <v>105</v>
      </c>
      <c r="E897" s="23" t="s">
        <v>363</v>
      </c>
      <c r="F897" s="23" t="s">
        <v>145</v>
      </c>
      <c r="G897" s="124" t="s">
        <v>380</v>
      </c>
      <c r="H897" s="131">
        <v>3</v>
      </c>
      <c r="I897" s="131">
        <v>0</v>
      </c>
      <c r="J897" s="122">
        <v>12000000</v>
      </c>
      <c r="K897" s="88" t="s">
        <v>398</v>
      </c>
      <c r="L897" s="163" t="s">
        <v>157</v>
      </c>
      <c r="M897" s="166" t="s">
        <v>483</v>
      </c>
      <c r="N897" s="23" t="s">
        <v>198</v>
      </c>
      <c r="O897" s="166" t="s">
        <v>887</v>
      </c>
      <c r="P897" s="166" t="s">
        <v>348</v>
      </c>
      <c r="Q897" s="53">
        <v>80111600</v>
      </c>
      <c r="R897" s="166" t="s">
        <v>213</v>
      </c>
      <c r="S897" s="166" t="str">
        <f>MID(PAA[[#This Row],[Meta Proyecto de Inversión]],1,4)</f>
        <v>8173</v>
      </c>
      <c r="T897" s="166" t="str">
        <f>MID(PAA[[#This Row],[Meta Proyecto de Inversión]],6,2)</f>
        <v>4-</v>
      </c>
      <c r="U897" s="167" t="str">
        <f>IFERROR(VLOOKUP(N897,TD!$B$54:$F$58,2,0)," ")</f>
        <v>O230117</v>
      </c>
      <c r="V897" s="167" t="str">
        <f>IFERROR(VLOOKUP(N897,TD!$B$54:$F$58,3,0)," ")</f>
        <v>4503</v>
      </c>
      <c r="W897" s="167">
        <f>IFERROR(VLOOKUP(N897,TD!$B$54:$F$58,4,0)," ")</f>
        <v>20240255</v>
      </c>
      <c r="X897" s="166" t="s">
        <v>180</v>
      </c>
      <c r="Y897" s="172" t="str">
        <f>IFERROR(VLOOKUP(X897,TD!$J$55:$K$68,2,0)," ")</f>
        <v>Servicio de apoyo   logístico  en eventos operativos y/o emergencias.</v>
      </c>
      <c r="Z897" s="168" t="str">
        <f>CONCATENATE(X897,"-",Y897)</f>
        <v>12-Servicio de apoyo   logístico  en eventos operativos y/o emergencias.</v>
      </c>
      <c r="AA897" s="166" t="s">
        <v>221</v>
      </c>
      <c r="AB897" s="172" t="str">
        <f>IFERROR(VLOOKUP(AA897,TD!$N$55:$O$70,2,0)," ")</f>
        <v>Servicio de atención a emergencias y desastres</v>
      </c>
      <c r="AC897" s="168" t="str">
        <f>CONCATENATE(AA897,"_",AB897)</f>
        <v>004_Servicio de atención a emergencias y desastres</v>
      </c>
      <c r="AD897" s="168" t="str">
        <f>CONCATENATE(Z897," ",AC897)</f>
        <v>12-Servicio de apoyo   logístico  en eventos operativos y/o emergencias. 004_Servicio de atención a emergencias y desastres</v>
      </c>
      <c r="AE897" s="167" t="str">
        <f>CONCATENATE(U897,V897,W897,X897,AA897)</f>
        <v>O23011745032024025512004</v>
      </c>
      <c r="AF897" s="172" t="str">
        <f>IFERROR(VLOOKUP(AD897,TD!$J$70:$K$93,2,0)," ")</f>
        <v>PM/0131/0112/45030040255</v>
      </c>
      <c r="AG897" s="114" t="s">
        <v>385</v>
      </c>
      <c r="AH897" s="175" t="s">
        <v>193</v>
      </c>
      <c r="AI897" s="184" t="str">
        <f>CONCATENATE(PAA[[#This Row],[Id Interno]],"-",PAA[[#This Row],[tipo de Contrato (TH talento humano - B/S bienes y/o servicios)]],"-",S897,"-",T897,"-",PAA[[#This Row],[Objeto de la contratación]])</f>
        <v>20260933-TH-8173-4--Prestar servicios de apoyo a la gestión en actividades administrativas y documentales para el desarrollo de las estrategías de la Subdirección Logística - SBLG</v>
      </c>
    </row>
    <row r="898" spans="2:35" ht="42" x14ac:dyDescent="0.35">
      <c r="B898" s="143">
        <v>20260934</v>
      </c>
      <c r="C898" s="97" t="s">
        <v>854</v>
      </c>
      <c r="D898" s="23" t="s">
        <v>105</v>
      </c>
      <c r="E898" s="23" t="s">
        <v>363</v>
      </c>
      <c r="F898" s="23" t="s">
        <v>145</v>
      </c>
      <c r="G898" s="124" t="s">
        <v>380</v>
      </c>
      <c r="H898" s="131">
        <v>3</v>
      </c>
      <c r="I898" s="131">
        <v>0</v>
      </c>
      <c r="J898" s="122">
        <v>8400000</v>
      </c>
      <c r="K898" s="88" t="s">
        <v>398</v>
      </c>
      <c r="L898" s="163" t="s">
        <v>157</v>
      </c>
      <c r="M898" s="166" t="s">
        <v>483</v>
      </c>
      <c r="N898" s="23" t="s">
        <v>198</v>
      </c>
      <c r="O898" s="166" t="s">
        <v>887</v>
      </c>
      <c r="P898" s="166" t="s">
        <v>348</v>
      </c>
      <c r="Q898" s="53">
        <v>80111600</v>
      </c>
      <c r="R898" s="166" t="s">
        <v>213</v>
      </c>
      <c r="S898" s="166" t="str">
        <f>MID(PAA[[#This Row],[Meta Proyecto de Inversión]],1,4)</f>
        <v>8173</v>
      </c>
      <c r="T898" s="166" t="str">
        <f>MID(PAA[[#This Row],[Meta Proyecto de Inversión]],6,2)</f>
        <v>4-</v>
      </c>
      <c r="U898" s="167" t="str">
        <f>IFERROR(VLOOKUP(N898,TD!$B$54:$F$58,2,0)," ")</f>
        <v>O230117</v>
      </c>
      <c r="V898" s="167" t="str">
        <f>IFERROR(VLOOKUP(N898,TD!$B$54:$F$58,3,0)," ")</f>
        <v>4503</v>
      </c>
      <c r="W898" s="167">
        <f>IFERROR(VLOOKUP(N898,TD!$B$54:$F$58,4,0)," ")</f>
        <v>20240255</v>
      </c>
      <c r="X898" s="166" t="s">
        <v>176</v>
      </c>
      <c r="Y898" s="172" t="str">
        <f>IFERROR(VLOOKUP(X898,TD!$J$55:$K$68,2,0)," ")</f>
        <v>Servicio de mantenimiento, dotación (HEA´s y equipo menor) y adquisición de vehiculos   especializados para la atención de emergencias.</v>
      </c>
      <c r="Z898" s="168" t="str">
        <f>CONCATENATE(X898,"-",Y898)</f>
        <v>09-Servicio de mantenimiento, dotación (HEA´s y equipo menor) y adquisición de vehiculos   especializados para la atención de emergencias.</v>
      </c>
      <c r="AA898" s="166" t="s">
        <v>221</v>
      </c>
      <c r="AB898" s="172" t="str">
        <f>IFERROR(VLOOKUP(AA898,TD!$N$55:$O$70,2,0)," ")</f>
        <v>Servicio de atención a emergencias y desastres</v>
      </c>
      <c r="AC898" s="168" t="str">
        <f>CONCATENATE(AA898,"_",AB898)</f>
        <v>004_Servicio de atención a emergencias y desastres</v>
      </c>
      <c r="AD898" s="168" t="str">
        <f>CONCATENATE(Z898," ",AC898)</f>
        <v>09-Servicio de mantenimiento, dotación (HEA´s y equipo menor) y adquisición de vehiculos   especializados para la atención de emergencias. 004_Servicio de atención a emergencias y desastres</v>
      </c>
      <c r="AE898" s="167" t="str">
        <f>CONCATENATE(U898,V898,W898,X898,AA898)</f>
        <v>O23011745032024025509004</v>
      </c>
      <c r="AF898" s="172" t="str">
        <f>IFERROR(VLOOKUP(AD898,TD!$J$70:$K$93,2,0)," ")</f>
        <v>PM/0131/0109/45030040255</v>
      </c>
      <c r="AG898" s="114" t="s">
        <v>385</v>
      </c>
      <c r="AH898" s="175" t="s">
        <v>193</v>
      </c>
      <c r="AI898" s="184" t="str">
        <f>CONCATENATE(PAA[[#This Row],[Id Interno]],"-",PAA[[#This Row],[tipo de Contrato (TH talento humano - B/S bienes y/o servicios)]],"-",S898,"-",T898,"-",PAA[[#This Row],[Objeto de la contratación]])</f>
        <v>20260934-TH-8173-4--Prestar servicios de apoyo a la gestión en las actividades de soporte operacional de la UAECOB Subdirección Logística. SBLG</v>
      </c>
    </row>
    <row r="899" spans="2:35" ht="56" x14ac:dyDescent="0.35">
      <c r="B899" s="143">
        <v>20260936</v>
      </c>
      <c r="C899" s="97" t="s">
        <v>624</v>
      </c>
      <c r="D899" s="23" t="s">
        <v>105</v>
      </c>
      <c r="E899" s="23" t="s">
        <v>363</v>
      </c>
      <c r="F899" s="23" t="s">
        <v>145</v>
      </c>
      <c r="G899" s="124" t="s">
        <v>380</v>
      </c>
      <c r="H899" s="131">
        <v>3</v>
      </c>
      <c r="I899" s="131">
        <v>0</v>
      </c>
      <c r="J899" s="122">
        <v>9855000</v>
      </c>
      <c r="K899" s="88" t="s">
        <v>398</v>
      </c>
      <c r="L899" s="163" t="s">
        <v>157</v>
      </c>
      <c r="M899" s="166" t="s">
        <v>483</v>
      </c>
      <c r="N899" s="23" t="s">
        <v>198</v>
      </c>
      <c r="O899" s="166" t="s">
        <v>887</v>
      </c>
      <c r="P899" s="166" t="s">
        <v>348</v>
      </c>
      <c r="Q899" s="53">
        <v>80111600</v>
      </c>
      <c r="R899" s="166" t="s">
        <v>213</v>
      </c>
      <c r="S899" s="166" t="str">
        <f>MID(PAA[[#This Row],[Meta Proyecto de Inversión]],1,4)</f>
        <v>8173</v>
      </c>
      <c r="T899" s="166" t="str">
        <f>MID(PAA[[#This Row],[Meta Proyecto de Inversión]],6,2)</f>
        <v>4-</v>
      </c>
      <c r="U899" s="167" t="str">
        <f>IFERROR(VLOOKUP(N899,TD!$B$54:$F$58,2,0)," ")</f>
        <v>O230117</v>
      </c>
      <c r="V899" s="167" t="str">
        <f>IFERROR(VLOOKUP(N899,TD!$B$54:$F$58,3,0)," ")</f>
        <v>4503</v>
      </c>
      <c r="W899" s="167">
        <f>IFERROR(VLOOKUP(N899,TD!$B$54:$F$58,4,0)," ")</f>
        <v>20240255</v>
      </c>
      <c r="X899" s="166" t="s">
        <v>180</v>
      </c>
      <c r="Y899" s="172" t="str">
        <f>IFERROR(VLOOKUP(X899,TD!$J$55:$K$68,2,0)," ")</f>
        <v>Servicio de apoyo   logístico  en eventos operativos y/o emergencias.</v>
      </c>
      <c r="Z899" s="168" t="str">
        <f>CONCATENATE(X899,"-",Y899)</f>
        <v>12-Servicio de apoyo   logístico  en eventos operativos y/o emergencias.</v>
      </c>
      <c r="AA899" s="166" t="s">
        <v>221</v>
      </c>
      <c r="AB899" s="172" t="str">
        <f>IFERROR(VLOOKUP(AA899,TD!$N$55:$O$70,2,0)," ")</f>
        <v>Servicio de atención a emergencias y desastres</v>
      </c>
      <c r="AC899" s="168" t="str">
        <f>CONCATENATE(AA899,"_",AB899)</f>
        <v>004_Servicio de atención a emergencias y desastres</v>
      </c>
      <c r="AD899" s="168" t="str">
        <f>CONCATENATE(Z899," ",AC899)</f>
        <v>12-Servicio de apoyo   logístico  en eventos operativos y/o emergencias. 004_Servicio de atención a emergencias y desastres</v>
      </c>
      <c r="AE899" s="167" t="str">
        <f>CONCATENATE(U899,V899,W899,X899,AA899)</f>
        <v>O23011745032024025512004</v>
      </c>
      <c r="AF899" s="172" t="str">
        <f>IFERROR(VLOOKUP(AD899,TD!$J$70:$K$93,2,0)," ")</f>
        <v>PM/0131/0112/45030040255</v>
      </c>
      <c r="AG899" s="114" t="s">
        <v>385</v>
      </c>
      <c r="AH899" s="175" t="s">
        <v>193</v>
      </c>
      <c r="AI899" s="184" t="str">
        <f>CONCATENATE(PAA[[#This Row],[Id Interno]],"-",PAA[[#This Row],[tipo de Contrato (TH talento humano - B/S bienes y/o servicios)]],"-",S899,"-",T899,"-",PAA[[#This Row],[Objeto de la contratación]])</f>
        <v>20260936-TH-8173-4--Prestar servicios de apoyo a la gestión en las actividades de soporte operacional para el desarrollo de las estrategías de la Subdirección Logística. SBLG</v>
      </c>
    </row>
    <row r="900" spans="2:35" ht="42" x14ac:dyDescent="0.35">
      <c r="B900" s="143">
        <v>20260937</v>
      </c>
      <c r="C900" s="97" t="s">
        <v>787</v>
      </c>
      <c r="D900" s="23" t="s">
        <v>105</v>
      </c>
      <c r="E900" s="23" t="s">
        <v>363</v>
      </c>
      <c r="F900" s="23" t="s">
        <v>144</v>
      </c>
      <c r="G900" s="124" t="s">
        <v>380</v>
      </c>
      <c r="H900" s="131">
        <v>3</v>
      </c>
      <c r="I900" s="131">
        <v>0</v>
      </c>
      <c r="J900" s="122">
        <v>16500000</v>
      </c>
      <c r="K900" s="88" t="s">
        <v>398</v>
      </c>
      <c r="L900" s="163" t="s">
        <v>157</v>
      </c>
      <c r="M900" s="166" t="s">
        <v>483</v>
      </c>
      <c r="N900" s="23" t="s">
        <v>198</v>
      </c>
      <c r="O900" s="166" t="s">
        <v>887</v>
      </c>
      <c r="P900" s="166" t="s">
        <v>348</v>
      </c>
      <c r="Q900" s="53">
        <v>80111600</v>
      </c>
      <c r="R900" s="166" t="s">
        <v>213</v>
      </c>
      <c r="S900" s="166" t="str">
        <f>MID(PAA[[#This Row],[Meta Proyecto de Inversión]],1,4)</f>
        <v>8173</v>
      </c>
      <c r="T900" s="166" t="str">
        <f>MID(PAA[[#This Row],[Meta Proyecto de Inversión]],6,2)</f>
        <v>4-</v>
      </c>
      <c r="U900" s="167" t="str">
        <f>IFERROR(VLOOKUP(N900,TD!$B$54:$F$58,2,0)," ")</f>
        <v>O230117</v>
      </c>
      <c r="V900" s="167" t="str">
        <f>IFERROR(VLOOKUP(N900,TD!$B$54:$F$58,3,0)," ")</f>
        <v>4503</v>
      </c>
      <c r="W900" s="167">
        <f>IFERROR(VLOOKUP(N900,TD!$B$54:$F$58,4,0)," ")</f>
        <v>20240255</v>
      </c>
      <c r="X900" s="166" t="s">
        <v>180</v>
      </c>
      <c r="Y900" s="172" t="str">
        <f>IFERROR(VLOOKUP(X900,TD!$J$55:$K$68,2,0)," ")</f>
        <v>Servicio de apoyo   logístico  en eventos operativos y/o emergencias.</v>
      </c>
      <c r="Z900" s="168" t="str">
        <f>CONCATENATE(X900,"-",Y900)</f>
        <v>12-Servicio de apoyo   logístico  en eventos operativos y/o emergencias.</v>
      </c>
      <c r="AA900" s="166" t="s">
        <v>221</v>
      </c>
      <c r="AB900" s="172" t="str">
        <f>IFERROR(VLOOKUP(AA900,TD!$N$55:$O$70,2,0)," ")</f>
        <v>Servicio de atención a emergencias y desastres</v>
      </c>
      <c r="AC900" s="168" t="str">
        <f>CONCATENATE(AA900,"_",AB900)</f>
        <v>004_Servicio de atención a emergencias y desastres</v>
      </c>
      <c r="AD900" s="168" t="str">
        <f>CONCATENATE(Z900," ",AC900)</f>
        <v>12-Servicio de apoyo   logístico  en eventos operativos y/o emergencias. 004_Servicio de atención a emergencias y desastres</v>
      </c>
      <c r="AE900" s="167" t="str">
        <f>CONCATENATE(U900,V900,W900,X900,AA900)</f>
        <v>O23011745032024025512004</v>
      </c>
      <c r="AF900" s="172" t="str">
        <f>IFERROR(VLOOKUP(AD900,TD!$J$70:$K$93,2,0)," ")</f>
        <v>PM/0131/0112/45030040255</v>
      </c>
      <c r="AG900" s="114" t="s">
        <v>385</v>
      </c>
      <c r="AH900" s="175" t="s">
        <v>193</v>
      </c>
      <c r="AI900" s="184" t="str">
        <f>CONCATENATE(PAA[[#This Row],[Id Interno]],"-",PAA[[#This Row],[tipo de Contrato (TH talento humano - B/S bienes y/o servicios)]],"-",S900,"-",T900,"-",PAA[[#This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901" spans="2:35" ht="56" x14ac:dyDescent="0.35">
      <c r="B901" s="143">
        <v>20260938</v>
      </c>
      <c r="C901" s="97" t="s">
        <v>786</v>
      </c>
      <c r="D901" s="23" t="s">
        <v>105</v>
      </c>
      <c r="E901" s="23" t="s">
        <v>363</v>
      </c>
      <c r="F901" s="23" t="s">
        <v>145</v>
      </c>
      <c r="G901" s="124" t="s">
        <v>380</v>
      </c>
      <c r="H901" s="131">
        <v>3</v>
      </c>
      <c r="I901" s="131">
        <v>0</v>
      </c>
      <c r="J901" s="122">
        <v>10800000</v>
      </c>
      <c r="K901" s="88" t="s">
        <v>398</v>
      </c>
      <c r="L901" s="163" t="s">
        <v>157</v>
      </c>
      <c r="M901" s="166" t="s">
        <v>483</v>
      </c>
      <c r="N901" s="23" t="s">
        <v>198</v>
      </c>
      <c r="O901" s="166" t="s">
        <v>887</v>
      </c>
      <c r="P901" s="166" t="s">
        <v>348</v>
      </c>
      <c r="Q901" s="53">
        <v>80111600</v>
      </c>
      <c r="R901" s="166" t="s">
        <v>213</v>
      </c>
      <c r="S901" s="166" t="str">
        <f>MID(PAA[[#This Row],[Meta Proyecto de Inversión]],1,4)</f>
        <v>8173</v>
      </c>
      <c r="T901" s="166" t="str">
        <f>MID(PAA[[#This Row],[Meta Proyecto de Inversión]],6,2)</f>
        <v>4-</v>
      </c>
      <c r="U901" s="167" t="str">
        <f>IFERROR(VLOOKUP(N901,TD!$B$54:$F$58,2,0)," ")</f>
        <v>O230117</v>
      </c>
      <c r="V901" s="167" t="str">
        <f>IFERROR(VLOOKUP(N901,TD!$B$54:$F$58,3,0)," ")</f>
        <v>4503</v>
      </c>
      <c r="W901" s="167">
        <f>IFERROR(VLOOKUP(N901,TD!$B$54:$F$58,4,0)," ")</f>
        <v>20240255</v>
      </c>
      <c r="X901" s="166" t="s">
        <v>180</v>
      </c>
      <c r="Y901" s="172" t="str">
        <f>IFERROR(VLOOKUP(X901,TD!$J$55:$K$68,2,0)," ")</f>
        <v>Servicio de apoyo   logístico  en eventos operativos y/o emergencias.</v>
      </c>
      <c r="Z901" s="168" t="str">
        <f>CONCATENATE(X901,"-",Y901)</f>
        <v>12-Servicio de apoyo   logístico  en eventos operativos y/o emergencias.</v>
      </c>
      <c r="AA901" s="166" t="s">
        <v>221</v>
      </c>
      <c r="AB901" s="172" t="str">
        <f>IFERROR(VLOOKUP(AA901,TD!$N$55:$O$70,2,0)," ")</f>
        <v>Servicio de atención a emergencias y desastres</v>
      </c>
      <c r="AC901" s="168" t="str">
        <f>CONCATENATE(AA901,"_",AB901)</f>
        <v>004_Servicio de atención a emergencias y desastres</v>
      </c>
      <c r="AD901" s="168" t="str">
        <f>CONCATENATE(Z901," ",AC901)</f>
        <v>12-Servicio de apoyo   logístico  en eventos operativos y/o emergencias. 004_Servicio de atención a emergencias y desastres</v>
      </c>
      <c r="AE901" s="167" t="str">
        <f>CONCATENATE(U901,V901,W901,X901,AA901)</f>
        <v>O23011745032024025512004</v>
      </c>
      <c r="AF901" s="172" t="str">
        <f>IFERROR(VLOOKUP(AD901,TD!$J$70:$K$93,2,0)," ")</f>
        <v>PM/0131/0112/45030040255</v>
      </c>
      <c r="AG901" s="114" t="s">
        <v>385</v>
      </c>
      <c r="AH901" s="175" t="s">
        <v>193</v>
      </c>
      <c r="AI901" s="184" t="str">
        <f>CONCATENATE(PAA[[#This Row],[Id Interno]],"-",PAA[[#This Row],[tipo de Contrato (TH talento humano - B/S bienes y/o servicios)]],"-",S901,"-",T901,"-",PAA[[#This Row],[Objeto de la contratación]])</f>
        <v>20260938-TH-8173-4--Prestar servicios de apoyo a la gestión para el seguimiento y control de los suministros y consumibles  necesarios para la oportuna disponibilidad en la atención de emergencias -SBLG</v>
      </c>
    </row>
    <row r="902" spans="2:35" ht="42" x14ac:dyDescent="0.35">
      <c r="B902" s="143">
        <v>20260939</v>
      </c>
      <c r="C902" s="97" t="s">
        <v>857</v>
      </c>
      <c r="D902" s="23" t="s">
        <v>105</v>
      </c>
      <c r="E902" s="23" t="s">
        <v>363</v>
      </c>
      <c r="F902" s="23" t="s">
        <v>145</v>
      </c>
      <c r="G902" s="124" t="s">
        <v>381</v>
      </c>
      <c r="H902" s="131">
        <v>3</v>
      </c>
      <c r="I902" s="131">
        <v>0</v>
      </c>
      <c r="J902" s="122">
        <v>7200000</v>
      </c>
      <c r="K902" s="88" t="s">
        <v>398</v>
      </c>
      <c r="L902" s="163" t="s">
        <v>157</v>
      </c>
      <c r="M902" s="166" t="s">
        <v>483</v>
      </c>
      <c r="N902" s="23" t="s">
        <v>198</v>
      </c>
      <c r="O902" s="166" t="s">
        <v>887</v>
      </c>
      <c r="P902" s="166" t="s">
        <v>348</v>
      </c>
      <c r="Q902" s="53">
        <v>80111600</v>
      </c>
      <c r="R902" s="166" t="s">
        <v>213</v>
      </c>
      <c r="S902" s="166" t="str">
        <f>MID(PAA[[#This Row],[Meta Proyecto de Inversión]],1,4)</f>
        <v>8173</v>
      </c>
      <c r="T902" s="166" t="str">
        <f>MID(PAA[[#This Row],[Meta Proyecto de Inversión]],6,2)</f>
        <v>4-</v>
      </c>
      <c r="U902" s="167" t="str">
        <f>IFERROR(VLOOKUP(N902,TD!$B$54:$F$58,2,0)," ")</f>
        <v>O230117</v>
      </c>
      <c r="V902" s="167" t="str">
        <f>IFERROR(VLOOKUP(N902,TD!$B$54:$F$58,3,0)," ")</f>
        <v>4503</v>
      </c>
      <c r="W902" s="167">
        <f>IFERROR(VLOOKUP(N902,TD!$B$54:$F$58,4,0)," ")</f>
        <v>20240255</v>
      </c>
      <c r="X902" s="166" t="s">
        <v>176</v>
      </c>
      <c r="Y902" s="172" t="str">
        <f>IFERROR(VLOOKUP(X902,TD!$J$55:$K$68,2,0)," ")</f>
        <v>Servicio de mantenimiento, dotación (HEA´s y equipo menor) y adquisición de vehiculos   especializados para la atención de emergencias.</v>
      </c>
      <c r="Z902" s="168" t="str">
        <f>CONCATENATE(X902,"-",Y902)</f>
        <v>09-Servicio de mantenimiento, dotación (HEA´s y equipo menor) y adquisición de vehiculos   especializados para la atención de emergencias.</v>
      </c>
      <c r="AA902" s="166" t="s">
        <v>221</v>
      </c>
      <c r="AB902" s="172" t="str">
        <f>IFERROR(VLOOKUP(AA902,TD!$N$55:$O$70,2,0)," ")</f>
        <v>Servicio de atención a emergencias y desastres</v>
      </c>
      <c r="AC902" s="168" t="str">
        <f>CONCATENATE(AA902,"_",AB902)</f>
        <v>004_Servicio de atención a emergencias y desastres</v>
      </c>
      <c r="AD902" s="168" t="str">
        <f>CONCATENATE(Z902," ",AC902)</f>
        <v>09-Servicio de mantenimiento, dotación (HEA´s y equipo menor) y adquisición de vehiculos   especializados para la atención de emergencias. 004_Servicio de atención a emergencias y desastres</v>
      </c>
      <c r="AE902" s="167" t="str">
        <f>CONCATENATE(U902,V902,W902,X902,AA902)</f>
        <v>O23011745032024025509004</v>
      </c>
      <c r="AF902" s="172" t="str">
        <f>IFERROR(VLOOKUP(AD902,TD!$J$70:$K$93,2,0)," ")</f>
        <v>PM/0131/0109/45030040255</v>
      </c>
      <c r="AG902" s="114" t="s">
        <v>385</v>
      </c>
      <c r="AH902" s="175" t="s">
        <v>193</v>
      </c>
      <c r="AI902" s="184" t="str">
        <f>CONCATENATE(PAA[[#This Row],[Id Interno]],"-",PAA[[#This Row],[tipo de Contrato (TH talento humano - B/S bienes y/o servicios)]],"-",S902,"-",T902,"-",PAA[[#This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903" spans="2:35" ht="56" x14ac:dyDescent="0.35">
      <c r="B903" s="143">
        <v>20260941</v>
      </c>
      <c r="C903" s="97" t="s">
        <v>881</v>
      </c>
      <c r="D903" s="23" t="s">
        <v>105</v>
      </c>
      <c r="E903" s="23" t="s">
        <v>363</v>
      </c>
      <c r="F903" s="23" t="s">
        <v>144</v>
      </c>
      <c r="G903" s="124" t="s">
        <v>381</v>
      </c>
      <c r="H903" s="131">
        <v>3</v>
      </c>
      <c r="I903" s="131">
        <v>0</v>
      </c>
      <c r="J903" s="122">
        <v>15000000</v>
      </c>
      <c r="K903" s="88" t="s">
        <v>398</v>
      </c>
      <c r="L903" s="163" t="s">
        <v>157</v>
      </c>
      <c r="M903" s="166" t="s">
        <v>483</v>
      </c>
      <c r="N903" s="23" t="s">
        <v>198</v>
      </c>
      <c r="O903" s="166" t="s">
        <v>887</v>
      </c>
      <c r="P903" s="166" t="s">
        <v>348</v>
      </c>
      <c r="Q903" s="53">
        <v>80111600</v>
      </c>
      <c r="R903" s="166" t="s">
        <v>213</v>
      </c>
      <c r="S903" s="166" t="str">
        <f>MID(PAA[[#This Row],[Meta Proyecto de Inversión]],1,4)</f>
        <v>8173</v>
      </c>
      <c r="T903" s="166" t="str">
        <f>MID(PAA[[#This Row],[Meta Proyecto de Inversión]],6,2)</f>
        <v>4-</v>
      </c>
      <c r="U903" s="167" t="str">
        <f>IFERROR(VLOOKUP(N903,TD!$B$54:$F$58,2,0)," ")</f>
        <v>O230117</v>
      </c>
      <c r="V903" s="167" t="str">
        <f>IFERROR(VLOOKUP(N903,TD!$B$54:$F$58,3,0)," ")</f>
        <v>4503</v>
      </c>
      <c r="W903" s="167">
        <f>IFERROR(VLOOKUP(N903,TD!$B$54:$F$58,4,0)," ")</f>
        <v>20240255</v>
      </c>
      <c r="X903" s="166" t="s">
        <v>180</v>
      </c>
      <c r="Y903" s="172" t="str">
        <f>IFERROR(VLOOKUP(X903,TD!$J$55:$K$68,2,0)," ")</f>
        <v>Servicio de apoyo   logístico  en eventos operativos y/o emergencias.</v>
      </c>
      <c r="Z903" s="168" t="str">
        <f>CONCATENATE(X903,"-",Y903)</f>
        <v>12-Servicio de apoyo   logístico  en eventos operativos y/o emergencias.</v>
      </c>
      <c r="AA903" s="166" t="s">
        <v>221</v>
      </c>
      <c r="AB903" s="172" t="str">
        <f>IFERROR(VLOOKUP(AA903,TD!$N$55:$O$70,2,0)," ")</f>
        <v>Servicio de atención a emergencias y desastres</v>
      </c>
      <c r="AC903" s="168" t="str">
        <f>CONCATENATE(AA903,"_",AB903)</f>
        <v>004_Servicio de atención a emergencias y desastres</v>
      </c>
      <c r="AD903" s="168" t="str">
        <f>CONCATENATE(Z903," ",AC903)</f>
        <v>12-Servicio de apoyo   logístico  en eventos operativos y/o emergencias. 004_Servicio de atención a emergencias y desastres</v>
      </c>
      <c r="AE903" s="167" t="str">
        <f>CONCATENATE(U903,V903,W903,X903,AA903)</f>
        <v>O23011745032024025512004</v>
      </c>
      <c r="AF903" s="172" t="str">
        <f>IFERROR(VLOOKUP(AD903,TD!$J$70:$K$93,2,0)," ")</f>
        <v>PM/0131/0112/45030040255</v>
      </c>
      <c r="AG903" s="114" t="s">
        <v>385</v>
      </c>
      <c r="AH903" s="175" t="s">
        <v>193</v>
      </c>
      <c r="AI903" s="184" t="str">
        <f>CONCATENATE(PAA[[#This Row],[Id Interno]],"-",PAA[[#This Row],[tipo de Contrato (TH talento humano - B/S bienes y/o servicios)]],"-",S903,"-",T903,"-",PAA[[#This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904" spans="2:35" s="56" customFormat="1" ht="56" x14ac:dyDescent="0.35">
      <c r="B904" s="143">
        <v>20260942</v>
      </c>
      <c r="C904" s="97" t="s">
        <v>782</v>
      </c>
      <c r="D904" s="23" t="s">
        <v>105</v>
      </c>
      <c r="E904" s="23" t="s">
        <v>363</v>
      </c>
      <c r="F904" s="23" t="s">
        <v>145</v>
      </c>
      <c r="G904" s="124" t="s">
        <v>381</v>
      </c>
      <c r="H904" s="131">
        <v>3</v>
      </c>
      <c r="I904" s="131">
        <v>0</v>
      </c>
      <c r="J904" s="122">
        <v>10500000</v>
      </c>
      <c r="K904" s="88" t="s">
        <v>398</v>
      </c>
      <c r="L904" s="163" t="s">
        <v>157</v>
      </c>
      <c r="M904" s="166" t="s">
        <v>483</v>
      </c>
      <c r="N904" s="23" t="s">
        <v>198</v>
      </c>
      <c r="O904" s="166" t="s">
        <v>887</v>
      </c>
      <c r="P904" s="166" t="s">
        <v>348</v>
      </c>
      <c r="Q904" s="53">
        <v>80111600</v>
      </c>
      <c r="R904" s="166" t="s">
        <v>213</v>
      </c>
      <c r="S904" s="166" t="str">
        <f>MID(PAA[[#This Row],[Meta Proyecto de Inversión]],1,4)</f>
        <v>8173</v>
      </c>
      <c r="T904" s="166" t="str">
        <f>MID(PAA[[#This Row],[Meta Proyecto de Inversión]],6,2)</f>
        <v>4-</v>
      </c>
      <c r="U904" s="167" t="str">
        <f>IFERROR(VLOOKUP(N904,TD!$B$54:$F$58,2,0)," ")</f>
        <v>O230117</v>
      </c>
      <c r="V904" s="167" t="str">
        <f>IFERROR(VLOOKUP(N904,TD!$B$54:$F$58,3,0)," ")</f>
        <v>4503</v>
      </c>
      <c r="W904" s="167">
        <f>IFERROR(VLOOKUP(N904,TD!$B$54:$F$58,4,0)," ")</f>
        <v>20240255</v>
      </c>
      <c r="X904" s="166" t="s">
        <v>180</v>
      </c>
      <c r="Y904" s="172" t="str">
        <f>IFERROR(VLOOKUP(X904,TD!$J$55:$K$68,2,0)," ")</f>
        <v>Servicio de apoyo   logístico  en eventos operativos y/o emergencias.</v>
      </c>
      <c r="Z904" s="168" t="str">
        <f>CONCATENATE(X904,"-",Y904)</f>
        <v>12-Servicio de apoyo   logístico  en eventos operativos y/o emergencias.</v>
      </c>
      <c r="AA904" s="166" t="s">
        <v>221</v>
      </c>
      <c r="AB904" s="172" t="str">
        <f>IFERROR(VLOOKUP(AA904,TD!$N$55:$O$70,2,0)," ")</f>
        <v>Servicio de atención a emergencias y desastres</v>
      </c>
      <c r="AC904" s="168" t="str">
        <f>CONCATENATE(AA904,"_",AB904)</f>
        <v>004_Servicio de atención a emergencias y desastres</v>
      </c>
      <c r="AD904" s="168" t="str">
        <f>CONCATENATE(Z904," ",AC904)</f>
        <v>12-Servicio de apoyo   logístico  en eventos operativos y/o emergencias. 004_Servicio de atención a emergencias y desastres</v>
      </c>
      <c r="AE904" s="167" t="str">
        <f>CONCATENATE(U904,V904,W904,X904,AA904)</f>
        <v>O23011745032024025512004</v>
      </c>
      <c r="AF904" s="172" t="str">
        <f>IFERROR(VLOOKUP(AD904,TD!$J$70:$K$93,2,0)," ")</f>
        <v>PM/0131/0112/45030040255</v>
      </c>
      <c r="AG904" s="114" t="s">
        <v>385</v>
      </c>
      <c r="AH904" s="175" t="s">
        <v>193</v>
      </c>
      <c r="AI904" s="184" t="str">
        <f>CONCATENATE(PAA[[#This Row],[Id Interno]],"-",PAA[[#This Row],[tipo de Contrato (TH talento humano - B/S bienes y/o servicios)]],"-",S904,"-",T904,"-",PAA[[#This Row],[Objeto de la contratación]])</f>
        <v>20260942-TH-8173-4--Prestar servicios como conductor para apoyar en la gestiónes tecnicas y operativas para la Subdirección Logistica- SBLG.</v>
      </c>
    </row>
    <row r="905" spans="2:35" ht="42" x14ac:dyDescent="0.35">
      <c r="B905" s="143">
        <v>20260943</v>
      </c>
      <c r="C905" s="97" t="s">
        <v>776</v>
      </c>
      <c r="D905" s="23" t="s">
        <v>105</v>
      </c>
      <c r="E905" s="23" t="s">
        <v>363</v>
      </c>
      <c r="F905" s="23" t="s">
        <v>144</v>
      </c>
      <c r="G905" s="124" t="s">
        <v>381</v>
      </c>
      <c r="H905" s="131">
        <v>2</v>
      </c>
      <c r="I905" s="131">
        <v>15</v>
      </c>
      <c r="J905" s="122">
        <v>18750000</v>
      </c>
      <c r="K905" s="88" t="s">
        <v>398</v>
      </c>
      <c r="L905" s="163" t="s">
        <v>157</v>
      </c>
      <c r="M905" s="166" t="s">
        <v>483</v>
      </c>
      <c r="N905" s="23" t="s">
        <v>198</v>
      </c>
      <c r="O905" s="166" t="s">
        <v>887</v>
      </c>
      <c r="P905" s="166" t="s">
        <v>348</v>
      </c>
      <c r="Q905" s="53">
        <v>80111600</v>
      </c>
      <c r="R905" s="166" t="s">
        <v>213</v>
      </c>
      <c r="S905" s="166" t="str">
        <f>MID(PAA[[#This Row],[Meta Proyecto de Inversión]],1,4)</f>
        <v>8173</v>
      </c>
      <c r="T905" s="166" t="str">
        <f>MID(PAA[[#This Row],[Meta Proyecto de Inversión]],6,2)</f>
        <v>4-</v>
      </c>
      <c r="U905" s="167" t="str">
        <f>IFERROR(VLOOKUP(N905,TD!$B$54:$F$58,2,0)," ")</f>
        <v>O230117</v>
      </c>
      <c r="V905" s="167" t="str">
        <f>IFERROR(VLOOKUP(N905,TD!$B$54:$F$58,3,0)," ")</f>
        <v>4503</v>
      </c>
      <c r="W905" s="167">
        <f>IFERROR(VLOOKUP(N905,TD!$B$54:$F$58,4,0)," ")</f>
        <v>20240255</v>
      </c>
      <c r="X905" s="166" t="s">
        <v>176</v>
      </c>
      <c r="Y905" s="172" t="str">
        <f>IFERROR(VLOOKUP(X905,TD!$J$55:$K$68,2,0)," ")</f>
        <v>Servicio de mantenimiento, dotación (HEA´s y equipo menor) y adquisición de vehiculos   especializados para la atención de emergencias.</v>
      </c>
      <c r="Z905" s="168" t="str">
        <f>CONCATENATE(X905,"-",Y905)</f>
        <v>09-Servicio de mantenimiento, dotación (HEA´s y equipo menor) y adquisición de vehiculos   especializados para la atención de emergencias.</v>
      </c>
      <c r="AA905" s="166" t="s">
        <v>221</v>
      </c>
      <c r="AB905" s="172" t="str">
        <f>IFERROR(VLOOKUP(AA905,TD!$N$55:$O$70,2,0)," ")</f>
        <v>Servicio de atención a emergencias y desastres</v>
      </c>
      <c r="AC905" s="168" t="str">
        <f>CONCATENATE(AA905,"_",AB905)</f>
        <v>004_Servicio de atención a emergencias y desastres</v>
      </c>
      <c r="AD905" s="168" t="str">
        <f>CONCATENATE(Z905," ",AC905)</f>
        <v>09-Servicio de mantenimiento, dotación (HEA´s y equipo menor) y adquisición de vehiculos   especializados para la atención de emergencias. 004_Servicio de atención a emergencias y desastres</v>
      </c>
      <c r="AE905" s="167" t="str">
        <f>CONCATENATE(U905,V905,W905,X905,AA905)</f>
        <v>O23011745032024025509004</v>
      </c>
      <c r="AF905" s="172" t="str">
        <f>IFERROR(VLOOKUP(AD905,TD!$J$70:$K$93,2,0)," ")</f>
        <v>PM/0131/0109/45030040255</v>
      </c>
      <c r="AG905" s="114" t="s">
        <v>385</v>
      </c>
      <c r="AH905" s="175" t="s">
        <v>194</v>
      </c>
      <c r="AI905" s="184" t="str">
        <f>CONCATENATE(PAA[[#This Row],[Id Interno]],"-",PAA[[#This Row],[tipo de Contrato (TH talento humano - B/S bienes y/o servicios)]],"-",S905,"-",T905,"-",PAA[[#This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906" spans="2:35" ht="56" x14ac:dyDescent="0.35">
      <c r="B906" s="143">
        <v>20260944</v>
      </c>
      <c r="C906" s="97" t="s">
        <v>789</v>
      </c>
      <c r="D906" s="23" t="s">
        <v>105</v>
      </c>
      <c r="E906" s="23" t="s">
        <v>363</v>
      </c>
      <c r="F906" s="23" t="s">
        <v>145</v>
      </c>
      <c r="G906" s="124" t="s">
        <v>382</v>
      </c>
      <c r="H906" s="131">
        <v>2</v>
      </c>
      <c r="I906" s="131">
        <v>0</v>
      </c>
      <c r="J906" s="122">
        <v>7200000</v>
      </c>
      <c r="K906" s="88" t="s">
        <v>398</v>
      </c>
      <c r="L906" s="163" t="s">
        <v>157</v>
      </c>
      <c r="M906" s="166" t="s">
        <v>483</v>
      </c>
      <c r="N906" s="23" t="s">
        <v>198</v>
      </c>
      <c r="O906" s="166" t="s">
        <v>887</v>
      </c>
      <c r="P906" s="166" t="s">
        <v>348</v>
      </c>
      <c r="Q906" s="53">
        <v>80111600</v>
      </c>
      <c r="R906" s="166" t="s">
        <v>213</v>
      </c>
      <c r="S906" s="166" t="str">
        <f>MID(PAA[[#This Row],[Meta Proyecto de Inversión]],1,4)</f>
        <v>8173</v>
      </c>
      <c r="T906" s="166" t="str">
        <f>MID(PAA[[#This Row],[Meta Proyecto de Inversión]],6,2)</f>
        <v>4-</v>
      </c>
      <c r="U906" s="167" t="str">
        <f>IFERROR(VLOOKUP(N906,TD!$B$54:$F$58,2,0)," ")</f>
        <v>O230117</v>
      </c>
      <c r="V906" s="167" t="str">
        <f>IFERROR(VLOOKUP(N906,TD!$B$54:$F$58,3,0)," ")</f>
        <v>4503</v>
      </c>
      <c r="W906" s="167">
        <f>IFERROR(VLOOKUP(N906,TD!$B$54:$F$58,4,0)," ")</f>
        <v>20240255</v>
      </c>
      <c r="X906" s="166" t="s">
        <v>176</v>
      </c>
      <c r="Y906" s="172" t="str">
        <f>IFERROR(VLOOKUP(X906,TD!$J$55:$K$68,2,0)," ")</f>
        <v>Servicio de mantenimiento, dotación (HEA´s y equipo menor) y adquisición de vehiculos   especializados para la atención de emergencias.</v>
      </c>
      <c r="Z906" s="168" t="str">
        <f>CONCATENATE(X906,"-",Y906)</f>
        <v>09-Servicio de mantenimiento, dotación (HEA´s y equipo menor) y adquisición de vehiculos   especializados para la atención de emergencias.</v>
      </c>
      <c r="AA906" s="166" t="s">
        <v>221</v>
      </c>
      <c r="AB906" s="172" t="str">
        <f>IFERROR(VLOOKUP(AA906,TD!$N$55:$O$70,2,0)," ")</f>
        <v>Servicio de atención a emergencias y desastres</v>
      </c>
      <c r="AC906" s="168" t="str">
        <f>CONCATENATE(AA906,"_",AB906)</f>
        <v>004_Servicio de atención a emergencias y desastres</v>
      </c>
      <c r="AD906" s="168" t="str">
        <f>CONCATENATE(Z906," ",AC906)</f>
        <v>09-Servicio de mantenimiento, dotación (HEA´s y equipo menor) y adquisición de vehiculos   especializados para la atención de emergencias. 004_Servicio de atención a emergencias y desastres</v>
      </c>
      <c r="AE906" s="167" t="str">
        <f>CONCATENATE(U906,V906,W906,X906,AA906)</f>
        <v>O23011745032024025509004</v>
      </c>
      <c r="AF906" s="172" t="str">
        <f>IFERROR(VLOOKUP(AD906,TD!$J$70:$K$93,2,0)," ")</f>
        <v>PM/0131/0109/45030040255</v>
      </c>
      <c r="AG906" s="114" t="s">
        <v>385</v>
      </c>
      <c r="AH906" s="175" t="s">
        <v>193</v>
      </c>
      <c r="AI906" s="184" t="str">
        <f>CONCATENATE(PAA[[#This Row],[Id Interno]],"-",PAA[[#This Row],[tipo de Contrato (TH talento humano - B/S bienes y/o servicios)]],"-",S906,"-",T906,"-",PAA[[#This Row],[Objeto de la contratación]])</f>
        <v>20260944-TH-8173-4--Prestar servicio de apoyo a la gestión para asistir a la Subdirección Logística en el seguimiento técnico y administrativo de los mantenimientos minimos requeridos en la Subdirección Logística - SBLG</v>
      </c>
    </row>
    <row r="907" spans="2:35" ht="56" x14ac:dyDescent="0.35">
      <c r="B907" s="143">
        <v>20260945</v>
      </c>
      <c r="C907" s="97" t="s">
        <v>624</v>
      </c>
      <c r="D907" s="23" t="s">
        <v>105</v>
      </c>
      <c r="E907" s="23" t="s">
        <v>363</v>
      </c>
      <c r="F907" s="23" t="s">
        <v>145</v>
      </c>
      <c r="G907" s="124" t="s">
        <v>382</v>
      </c>
      <c r="H907" s="131">
        <v>5</v>
      </c>
      <c r="I907" s="131">
        <v>0</v>
      </c>
      <c r="J907" s="122">
        <v>6560000</v>
      </c>
      <c r="K907" s="88" t="s">
        <v>398</v>
      </c>
      <c r="L907" s="163" t="s">
        <v>157</v>
      </c>
      <c r="M907" s="166" t="s">
        <v>483</v>
      </c>
      <c r="N907" s="23" t="s">
        <v>198</v>
      </c>
      <c r="O907" s="166" t="s">
        <v>887</v>
      </c>
      <c r="P907" s="166" t="s">
        <v>348</v>
      </c>
      <c r="Q907" s="53">
        <v>80111600</v>
      </c>
      <c r="R907" s="166" t="s">
        <v>213</v>
      </c>
      <c r="S907" s="166" t="str">
        <f>MID(PAA[[#This Row],[Meta Proyecto de Inversión]],1,4)</f>
        <v>8173</v>
      </c>
      <c r="T907" s="166" t="str">
        <f>MID(PAA[[#This Row],[Meta Proyecto de Inversión]],6,2)</f>
        <v>4-</v>
      </c>
      <c r="U907" s="167" t="str">
        <f>IFERROR(VLOOKUP(N907,TD!$B$54:$F$58,2,0)," ")</f>
        <v>O230117</v>
      </c>
      <c r="V907" s="167" t="str">
        <f>IFERROR(VLOOKUP(N907,TD!$B$54:$F$58,3,0)," ")</f>
        <v>4503</v>
      </c>
      <c r="W907" s="167">
        <f>IFERROR(VLOOKUP(N907,TD!$B$54:$F$58,4,0)," ")</f>
        <v>20240255</v>
      </c>
      <c r="X907" s="166" t="s">
        <v>180</v>
      </c>
      <c r="Y907" s="172" t="str">
        <f>IFERROR(VLOOKUP(X907,TD!$J$55:$K$68,2,0)," ")</f>
        <v>Servicio de apoyo   logístico  en eventos operativos y/o emergencias.</v>
      </c>
      <c r="Z907" s="168" t="str">
        <f>CONCATENATE(X907,"-",Y907)</f>
        <v>12-Servicio de apoyo   logístico  en eventos operativos y/o emergencias.</v>
      </c>
      <c r="AA907" s="166" t="s">
        <v>221</v>
      </c>
      <c r="AB907" s="172" t="str">
        <f>IFERROR(VLOOKUP(AA907,TD!$N$55:$O$70,2,0)," ")</f>
        <v>Servicio de atención a emergencias y desastres</v>
      </c>
      <c r="AC907" s="168" t="str">
        <f>CONCATENATE(AA907,"_",AB907)</f>
        <v>004_Servicio de atención a emergencias y desastres</v>
      </c>
      <c r="AD907" s="168" t="str">
        <f>CONCATENATE(Z907," ",AC907)</f>
        <v>12-Servicio de apoyo   logístico  en eventos operativos y/o emergencias. 004_Servicio de atención a emergencias y desastres</v>
      </c>
      <c r="AE907" s="167" t="str">
        <f>CONCATENATE(U907,V907,W907,X907,AA907)</f>
        <v>O23011745032024025512004</v>
      </c>
      <c r="AF907" s="172" t="str">
        <f>IFERROR(VLOOKUP(AD907,TD!$J$70:$K$93,2,0)," ")</f>
        <v>PM/0131/0112/45030040255</v>
      </c>
      <c r="AG907" s="114" t="s">
        <v>385</v>
      </c>
      <c r="AH907" s="175" t="s">
        <v>193</v>
      </c>
      <c r="AI907" s="184" t="str">
        <f>CONCATENATE(PAA[[#This Row],[Id Interno]],"-",PAA[[#This Row],[tipo de Contrato (TH talento humano - B/S bienes y/o servicios)]],"-",S907,"-",T907,"-",PAA[[#This Row],[Objeto de la contratación]])</f>
        <v>20260945-TH-8173-4--Prestar servicios de apoyo a la gestión en las actividades de soporte operacional para el desarrollo de las estrategías de la Subdirección Logística. SBLG</v>
      </c>
    </row>
    <row r="908" spans="2:35" ht="42" x14ac:dyDescent="0.35">
      <c r="B908" s="143">
        <v>20260946</v>
      </c>
      <c r="C908" s="97" t="s">
        <v>791</v>
      </c>
      <c r="D908" s="23" t="s">
        <v>105</v>
      </c>
      <c r="E908" s="23" t="s">
        <v>363</v>
      </c>
      <c r="F908" s="23" t="s">
        <v>144</v>
      </c>
      <c r="G908" s="124" t="s">
        <v>382</v>
      </c>
      <c r="H908" s="131">
        <v>5</v>
      </c>
      <c r="I908" s="131">
        <v>0</v>
      </c>
      <c r="J908" s="122">
        <v>40000000</v>
      </c>
      <c r="K908" s="88" t="s">
        <v>398</v>
      </c>
      <c r="L908" s="163" t="s">
        <v>157</v>
      </c>
      <c r="M908" s="166" t="s">
        <v>483</v>
      </c>
      <c r="N908" s="23" t="s">
        <v>198</v>
      </c>
      <c r="O908" s="166" t="s">
        <v>887</v>
      </c>
      <c r="P908" s="166" t="s">
        <v>348</v>
      </c>
      <c r="Q908" s="53">
        <v>80111600</v>
      </c>
      <c r="R908" s="166" t="s">
        <v>213</v>
      </c>
      <c r="S908" s="166" t="str">
        <f>MID(PAA[[#This Row],[Meta Proyecto de Inversión]],1,4)</f>
        <v>8173</v>
      </c>
      <c r="T908" s="166" t="str">
        <f>MID(PAA[[#This Row],[Meta Proyecto de Inversión]],6,2)</f>
        <v>4-</v>
      </c>
      <c r="U908" s="167" t="str">
        <f>IFERROR(VLOOKUP(N908,TD!$B$54:$F$58,2,0)," ")</f>
        <v>O230117</v>
      </c>
      <c r="V908" s="167" t="str">
        <f>IFERROR(VLOOKUP(N908,TD!$B$54:$F$58,3,0)," ")</f>
        <v>4503</v>
      </c>
      <c r="W908" s="167">
        <f>IFERROR(VLOOKUP(N908,TD!$B$54:$F$58,4,0)," ")</f>
        <v>20240255</v>
      </c>
      <c r="X908" s="166" t="s">
        <v>180</v>
      </c>
      <c r="Y908" s="172" t="str">
        <f>IFERROR(VLOOKUP(X908,TD!$J$55:$K$68,2,0)," ")</f>
        <v>Servicio de apoyo   logístico  en eventos operativos y/o emergencias.</v>
      </c>
      <c r="Z908" s="168" t="str">
        <f>CONCATENATE(X908,"-",Y908)</f>
        <v>12-Servicio de apoyo   logístico  en eventos operativos y/o emergencias.</v>
      </c>
      <c r="AA908" s="166" t="s">
        <v>221</v>
      </c>
      <c r="AB908" s="172" t="str">
        <f>IFERROR(VLOOKUP(AA908,TD!$N$55:$O$70,2,0)," ")</f>
        <v>Servicio de atención a emergencias y desastres</v>
      </c>
      <c r="AC908" s="168" t="str">
        <f>CONCATENATE(AA908,"_",AB908)</f>
        <v>004_Servicio de atención a emergencias y desastres</v>
      </c>
      <c r="AD908" s="168" t="str">
        <f>CONCATENATE(Z908," ",AC908)</f>
        <v>12-Servicio de apoyo   logístico  en eventos operativos y/o emergencias. 004_Servicio de atención a emergencias y desastres</v>
      </c>
      <c r="AE908" s="167" t="str">
        <f>CONCATENATE(U908,V908,W908,X908,AA908)</f>
        <v>O23011745032024025512004</v>
      </c>
      <c r="AF908" s="172" t="str">
        <f>IFERROR(VLOOKUP(AD908,TD!$J$70:$K$93,2,0)," ")</f>
        <v>PM/0131/0112/45030040255</v>
      </c>
      <c r="AG908" s="114" t="s">
        <v>385</v>
      </c>
      <c r="AH908" s="175" t="s">
        <v>193</v>
      </c>
      <c r="AI908" s="184" t="str">
        <f>CONCATENATE(PAA[[#This Row],[Id Interno]],"-",PAA[[#This Row],[tipo de Contrato (TH talento humano - B/S bienes y/o servicios)]],"-",S908,"-",T908,"-",PAA[[#This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909" spans="2:35" s="56" customFormat="1" ht="56" x14ac:dyDescent="0.35">
      <c r="B909" s="143">
        <v>20260947</v>
      </c>
      <c r="C909" s="97" t="s">
        <v>788</v>
      </c>
      <c r="D909" s="23" t="s">
        <v>105</v>
      </c>
      <c r="E909" s="23" t="s">
        <v>363</v>
      </c>
      <c r="F909" s="23" t="s">
        <v>144</v>
      </c>
      <c r="G909" s="124" t="s">
        <v>382</v>
      </c>
      <c r="H909" s="131">
        <v>2</v>
      </c>
      <c r="I909" s="131">
        <v>0</v>
      </c>
      <c r="J909" s="122">
        <v>13000000</v>
      </c>
      <c r="K909" s="88" t="s">
        <v>398</v>
      </c>
      <c r="L909" s="163" t="s">
        <v>157</v>
      </c>
      <c r="M909" s="166" t="s">
        <v>483</v>
      </c>
      <c r="N909" s="23" t="s">
        <v>198</v>
      </c>
      <c r="O909" s="166" t="s">
        <v>887</v>
      </c>
      <c r="P909" s="166" t="s">
        <v>348</v>
      </c>
      <c r="Q909" s="53">
        <v>80111600</v>
      </c>
      <c r="R909" s="166" t="s">
        <v>213</v>
      </c>
      <c r="S909" s="166" t="str">
        <f>MID(PAA[[#This Row],[Meta Proyecto de Inversión]],1,4)</f>
        <v>8173</v>
      </c>
      <c r="T909" s="166" t="str">
        <f>MID(PAA[[#This Row],[Meta Proyecto de Inversión]],6,2)</f>
        <v>4-</v>
      </c>
      <c r="U909" s="167" t="str">
        <f>IFERROR(VLOOKUP(N909,TD!$B$54:$F$58,2,0)," ")</f>
        <v>O230117</v>
      </c>
      <c r="V909" s="167" t="str">
        <f>IFERROR(VLOOKUP(N909,TD!$B$54:$F$58,3,0)," ")</f>
        <v>4503</v>
      </c>
      <c r="W909" s="167">
        <f>IFERROR(VLOOKUP(N909,TD!$B$54:$F$58,4,0)," ")</f>
        <v>20240255</v>
      </c>
      <c r="X909" s="166" t="s">
        <v>180</v>
      </c>
      <c r="Y909" s="172" t="str">
        <f>IFERROR(VLOOKUP(X909,TD!$J$55:$K$68,2,0)," ")</f>
        <v>Servicio de apoyo   logístico  en eventos operativos y/o emergencias.</v>
      </c>
      <c r="Z909" s="168" t="str">
        <f>CONCATENATE(X909,"-",Y909)</f>
        <v>12-Servicio de apoyo   logístico  en eventos operativos y/o emergencias.</v>
      </c>
      <c r="AA909" s="166" t="s">
        <v>221</v>
      </c>
      <c r="AB909" s="172" t="str">
        <f>IFERROR(VLOOKUP(AA909,TD!$N$55:$O$70,2,0)," ")</f>
        <v>Servicio de atención a emergencias y desastres</v>
      </c>
      <c r="AC909" s="168" t="str">
        <f>CONCATENATE(AA909,"_",AB909)</f>
        <v>004_Servicio de atención a emergencias y desastres</v>
      </c>
      <c r="AD909" s="168" t="str">
        <f>CONCATENATE(Z909," ",AC909)</f>
        <v>12-Servicio de apoyo   logístico  en eventos operativos y/o emergencias. 004_Servicio de atención a emergencias y desastres</v>
      </c>
      <c r="AE909" s="167" t="str">
        <f>CONCATENATE(U909,V909,W909,X909,AA909)</f>
        <v>O23011745032024025512004</v>
      </c>
      <c r="AF909" s="172" t="str">
        <f>IFERROR(VLOOKUP(AD909,TD!$J$70:$K$93,2,0)," ")</f>
        <v>PM/0131/0112/45030040255</v>
      </c>
      <c r="AG909" s="114" t="s">
        <v>385</v>
      </c>
      <c r="AH909" s="175" t="s">
        <v>193</v>
      </c>
      <c r="AI909" s="184" t="str">
        <f>CONCATENATE(PAA[[#This Row],[Id Interno]],"-",PAA[[#This Row],[tipo de Contrato (TH talento humano - B/S bienes y/o servicios)]],"-",S909,"-",T909,"-",PAA[[#This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10" spans="2:35" ht="56" x14ac:dyDescent="0.35">
      <c r="B910" s="143">
        <v>20260948</v>
      </c>
      <c r="C910" s="117" t="s">
        <v>620</v>
      </c>
      <c r="D910" s="125" t="s">
        <v>105</v>
      </c>
      <c r="E910" s="125" t="s">
        <v>363</v>
      </c>
      <c r="F910" s="125" t="s">
        <v>144</v>
      </c>
      <c r="G910" s="126" t="s">
        <v>382</v>
      </c>
      <c r="H910" s="132">
        <v>2</v>
      </c>
      <c r="I910" s="132">
        <v>0</v>
      </c>
      <c r="J910" s="127">
        <v>9000000</v>
      </c>
      <c r="K910" s="128" t="s">
        <v>398</v>
      </c>
      <c r="L910" s="176" t="s">
        <v>157</v>
      </c>
      <c r="M910" s="174" t="s">
        <v>483</v>
      </c>
      <c r="N910" s="125" t="s">
        <v>198</v>
      </c>
      <c r="O910" s="174" t="s">
        <v>887</v>
      </c>
      <c r="P910" s="174" t="s">
        <v>348</v>
      </c>
      <c r="Q910" s="129">
        <v>80111600</v>
      </c>
      <c r="R910" s="174" t="s">
        <v>213</v>
      </c>
      <c r="S910" s="174" t="str">
        <f>MID(PAA[[#This Row],[Meta Proyecto de Inversión]],1,4)</f>
        <v>8173</v>
      </c>
      <c r="T910" s="174" t="str">
        <f>MID(PAA[[#This Row],[Meta Proyecto de Inversión]],6,2)</f>
        <v>4-</v>
      </c>
      <c r="U910" s="179" t="str">
        <f>IFERROR(VLOOKUP(N910,TD!$B$54:$F$58,2,0)," ")</f>
        <v>O230117</v>
      </c>
      <c r="V910" s="179" t="str">
        <f>IFERROR(VLOOKUP(N910,TD!$B$54:$F$58,3,0)," ")</f>
        <v>4503</v>
      </c>
      <c r="W910" s="179">
        <f>IFERROR(VLOOKUP(N910,TD!$B$54:$F$58,4,0)," ")</f>
        <v>20240255</v>
      </c>
      <c r="X910" s="174" t="s">
        <v>180</v>
      </c>
      <c r="Y910" s="172" t="str">
        <f>IFERROR(VLOOKUP(X910,TD!$J$55:$K$68,2,0)," ")</f>
        <v>Servicio de apoyo   logístico  en eventos operativos y/o emergencias.</v>
      </c>
      <c r="Z910" s="180" t="str">
        <f>CONCATENATE(X910,"-",Y910)</f>
        <v>12-Servicio de apoyo   logístico  en eventos operativos y/o emergencias.</v>
      </c>
      <c r="AA910" s="174" t="s">
        <v>221</v>
      </c>
      <c r="AB910" s="172" t="str">
        <f>IFERROR(VLOOKUP(AA910,TD!$N$55:$O$70,2,0)," ")</f>
        <v>Servicio de atención a emergencias y desastres</v>
      </c>
      <c r="AC910" s="180" t="str">
        <f>CONCATENATE(AA910,"_",AB910)</f>
        <v>004_Servicio de atención a emergencias y desastres</v>
      </c>
      <c r="AD910" s="180" t="str">
        <f>CONCATENATE(Z910," ",AC910)</f>
        <v>12-Servicio de apoyo   logístico  en eventos operativos y/o emergencias. 004_Servicio de atención a emergencias y desastres</v>
      </c>
      <c r="AE910" s="179" t="str">
        <f>CONCATENATE(U910,V910,W910,X910,AA910)</f>
        <v>O23011745032024025512004</v>
      </c>
      <c r="AF910" s="172" t="str">
        <f>IFERROR(VLOOKUP(AD910,TD!$J$70:$K$93,2,0)," ")</f>
        <v>PM/0131/0112/45030040255</v>
      </c>
      <c r="AG910" s="114" t="s">
        <v>385</v>
      </c>
      <c r="AH910" s="175" t="s">
        <v>193</v>
      </c>
      <c r="AI910" s="184" t="str">
        <f>CONCATENATE(PAA[[#This Row],[Id Interno]],"-",PAA[[#This Row],[tipo de Contrato (TH talento humano - B/S bienes y/o servicios)]],"-",S910,"-",T910,"-",PAA[[#This Row],[Objeto de la contratación]])</f>
        <v>20260948-TH-8173-4--Prestar los servicios profesionales para la gestión, financiera de los proyectos y procesos para el fortalecimiento de las estrategías de la Subdirección Logística - SBLG.</v>
      </c>
    </row>
    <row r="911" spans="2:35" ht="42" x14ac:dyDescent="0.35">
      <c r="B911" s="137">
        <v>20260949</v>
      </c>
      <c r="C911" s="117" t="s">
        <v>778</v>
      </c>
      <c r="D911" s="125" t="s">
        <v>105</v>
      </c>
      <c r="E911" s="125" t="s">
        <v>363</v>
      </c>
      <c r="F911" s="125" t="s">
        <v>145</v>
      </c>
      <c r="G911" s="126" t="s">
        <v>382</v>
      </c>
      <c r="H911" s="132">
        <v>2</v>
      </c>
      <c r="I911" s="132">
        <v>0</v>
      </c>
      <c r="J911" s="127">
        <v>7200000</v>
      </c>
      <c r="K911" s="128" t="s">
        <v>398</v>
      </c>
      <c r="L911" s="176" t="s">
        <v>157</v>
      </c>
      <c r="M911" s="174" t="s">
        <v>483</v>
      </c>
      <c r="N911" s="125" t="s">
        <v>198</v>
      </c>
      <c r="O911" s="174" t="s">
        <v>887</v>
      </c>
      <c r="P911" s="174" t="s">
        <v>348</v>
      </c>
      <c r="Q911" s="129">
        <v>80111600</v>
      </c>
      <c r="R911" s="174" t="s">
        <v>213</v>
      </c>
      <c r="S911" s="174" t="str">
        <f>MID(PAA[[#This Row],[Meta Proyecto de Inversión]],1,4)</f>
        <v>8173</v>
      </c>
      <c r="T911" s="174" t="str">
        <f>MID(PAA[[#This Row],[Meta Proyecto de Inversión]],6,2)</f>
        <v>4-</v>
      </c>
      <c r="U911" s="179" t="str">
        <f>IFERROR(VLOOKUP(N911,TD!$B$54:$F$58,2,0)," ")</f>
        <v>O230117</v>
      </c>
      <c r="V911" s="179" t="str">
        <f>IFERROR(VLOOKUP(N911,TD!$B$54:$F$58,3,0)," ")</f>
        <v>4503</v>
      </c>
      <c r="W911" s="179">
        <f>IFERROR(VLOOKUP(N911,TD!$B$54:$F$58,4,0)," ")</f>
        <v>20240255</v>
      </c>
      <c r="X911" s="174" t="s">
        <v>180</v>
      </c>
      <c r="Y911" s="172" t="str">
        <f>IFERROR(VLOOKUP(X911,TD!$J$55:$K$68,2,0)," ")</f>
        <v>Servicio de apoyo   logístico  en eventos operativos y/o emergencias.</v>
      </c>
      <c r="Z911" s="180" t="str">
        <f>CONCATENATE(X911,"-",Y911)</f>
        <v>12-Servicio de apoyo   logístico  en eventos operativos y/o emergencias.</v>
      </c>
      <c r="AA911" s="174" t="s">
        <v>221</v>
      </c>
      <c r="AB911" s="172" t="str">
        <f>IFERROR(VLOOKUP(AA911,TD!$N$55:$O$70,2,0)," ")</f>
        <v>Servicio de atención a emergencias y desastres</v>
      </c>
      <c r="AC911" s="180" t="str">
        <f>CONCATENATE(AA911,"_",AB911)</f>
        <v>004_Servicio de atención a emergencias y desastres</v>
      </c>
      <c r="AD911" s="180" t="str">
        <f>CONCATENATE(Z911," ",AC911)</f>
        <v>12-Servicio de apoyo   logístico  en eventos operativos y/o emergencias. 004_Servicio de atención a emergencias y desastres</v>
      </c>
      <c r="AE911" s="179" t="str">
        <f>CONCATENATE(U911,V911,W911,X911,AA911)</f>
        <v>O23011745032024025512004</v>
      </c>
      <c r="AF911" s="172" t="str">
        <f>IFERROR(VLOOKUP(AD911,TD!$J$70:$K$93,2,0)," ")</f>
        <v>PM/0131/0112/45030040255</v>
      </c>
      <c r="AG911" s="114" t="s">
        <v>385</v>
      </c>
      <c r="AH911" s="181" t="s">
        <v>193</v>
      </c>
      <c r="AI911" s="184" t="str">
        <f>CONCATENATE(PAA[[#This Row],[Id Interno]],"-",PAA[[#This Row],[tipo de Contrato (TH talento humano - B/S bienes y/o servicios)]],"-",S911,"-",T911,"-",PAA[[#This Row],[Objeto de la contratación]])</f>
        <v>20260949-TH-8173-4--Prestar servicios de apoyo técnico en la gestión documental, administrando y diligenciando las bases de datos, y demás documentos para el desarrollo de las estrategias de la Subdirección logística. -SBLG</v>
      </c>
    </row>
    <row r="912" spans="2:35" ht="56" x14ac:dyDescent="0.35">
      <c r="B912" s="143">
        <v>20260950</v>
      </c>
      <c r="C912" s="97" t="s">
        <v>777</v>
      </c>
      <c r="D912" s="23" t="s">
        <v>105</v>
      </c>
      <c r="E912" s="23" t="s">
        <v>363</v>
      </c>
      <c r="F912" s="23" t="s">
        <v>144</v>
      </c>
      <c r="G912" s="124" t="s">
        <v>382</v>
      </c>
      <c r="H912" s="131">
        <v>5</v>
      </c>
      <c r="I912" s="131">
        <v>0</v>
      </c>
      <c r="J912" s="122">
        <v>40000000</v>
      </c>
      <c r="K912" s="88" t="s">
        <v>398</v>
      </c>
      <c r="L912" s="163" t="s">
        <v>157</v>
      </c>
      <c r="M912" s="166" t="s">
        <v>483</v>
      </c>
      <c r="N912" s="23" t="s">
        <v>198</v>
      </c>
      <c r="O912" s="166" t="s">
        <v>887</v>
      </c>
      <c r="P912" s="166" t="s">
        <v>348</v>
      </c>
      <c r="Q912" s="53">
        <v>80111600</v>
      </c>
      <c r="R912" s="166" t="s">
        <v>213</v>
      </c>
      <c r="S912" s="166" t="str">
        <f>MID(PAA[[#This Row],[Meta Proyecto de Inversión]],1,4)</f>
        <v>8173</v>
      </c>
      <c r="T912" s="166" t="str">
        <f>MID(PAA[[#This Row],[Meta Proyecto de Inversión]],6,2)</f>
        <v>4-</v>
      </c>
      <c r="U912" s="167" t="str">
        <f>IFERROR(VLOOKUP(N912,TD!$B$54:$F$58,2,0)," ")</f>
        <v>O230117</v>
      </c>
      <c r="V912" s="167" t="str">
        <f>IFERROR(VLOOKUP(N912,TD!$B$54:$F$58,3,0)," ")</f>
        <v>4503</v>
      </c>
      <c r="W912" s="167">
        <f>IFERROR(VLOOKUP(N912,TD!$B$54:$F$58,4,0)," ")</f>
        <v>20240255</v>
      </c>
      <c r="X912" s="166" t="s">
        <v>176</v>
      </c>
      <c r="Y912" s="172" t="str">
        <f>IFERROR(VLOOKUP(X912,TD!$J$55:$K$68,2,0)," ")</f>
        <v>Servicio de mantenimiento, dotación (HEA´s y equipo menor) y adquisición de vehiculos   especializados para la atención de emergencias.</v>
      </c>
      <c r="Z912" s="168" t="str">
        <f>CONCATENATE(X912,"-",Y912)</f>
        <v>09-Servicio de mantenimiento, dotación (HEA´s y equipo menor) y adquisición de vehiculos   especializados para la atención de emergencias.</v>
      </c>
      <c r="AA912" s="166" t="s">
        <v>221</v>
      </c>
      <c r="AB912" s="172" t="str">
        <f>IFERROR(VLOOKUP(AA912,TD!$N$55:$O$70,2,0)," ")</f>
        <v>Servicio de atención a emergencias y desastres</v>
      </c>
      <c r="AC912" s="168" t="str">
        <f>CONCATENATE(AA912,"_",AB912)</f>
        <v>004_Servicio de atención a emergencias y desastres</v>
      </c>
      <c r="AD912" s="168" t="str">
        <f>CONCATENATE(Z912," ",AC912)</f>
        <v>09-Servicio de mantenimiento, dotación (HEA´s y equipo menor) y adquisición de vehiculos   especializados para la atención de emergencias. 004_Servicio de atención a emergencias y desastres</v>
      </c>
      <c r="AE912" s="167" t="str">
        <f>CONCATENATE(U912,V912,W912,X912,AA912)</f>
        <v>O23011745032024025509004</v>
      </c>
      <c r="AF912" s="172" t="str">
        <f>IFERROR(VLOOKUP(AD912,TD!$J$70:$K$93,2,0)," ")</f>
        <v>PM/0131/0109/45030040255</v>
      </c>
      <c r="AG912" s="114" t="s">
        <v>385</v>
      </c>
      <c r="AH912" s="175" t="s">
        <v>193</v>
      </c>
      <c r="AI912" s="184" t="str">
        <f>CONCATENATE(PAA[[#This Row],[Id Interno]],"-",PAA[[#This Row],[tipo de Contrato (TH talento humano - B/S bienes y/o servicios)]],"-",S912,"-",T912,"-",PAA[[#This Row],[Objeto de la contratación]])</f>
        <v>20260950-TH-8173-4--Prestación de servicios profesionales para la gestión, seguimiento y control  técnico y operativo del proceso de mantenimiento del parque automotor a cargo de la Subdirección Logística - SBLG.</v>
      </c>
    </row>
    <row r="913" spans="2:35" ht="56" x14ac:dyDescent="0.35">
      <c r="B913" s="137">
        <v>20260951</v>
      </c>
      <c r="C913" s="117" t="s">
        <v>1305</v>
      </c>
      <c r="D913" s="125" t="s">
        <v>105</v>
      </c>
      <c r="E913" s="125" t="s">
        <v>363</v>
      </c>
      <c r="F913" s="125" t="s">
        <v>144</v>
      </c>
      <c r="G913" s="126" t="s">
        <v>382</v>
      </c>
      <c r="H913" s="132">
        <v>3</v>
      </c>
      <c r="I913" s="132">
        <v>0</v>
      </c>
      <c r="J913" s="127">
        <v>13500000</v>
      </c>
      <c r="K913" s="128" t="s">
        <v>398</v>
      </c>
      <c r="L913" s="176" t="s">
        <v>157</v>
      </c>
      <c r="M913" s="174" t="s">
        <v>483</v>
      </c>
      <c r="N913" s="125" t="s">
        <v>198</v>
      </c>
      <c r="O913" s="166" t="s">
        <v>887</v>
      </c>
      <c r="P913" s="166" t="s">
        <v>348</v>
      </c>
      <c r="Q913" s="53">
        <v>80111600</v>
      </c>
      <c r="R913" s="174" t="s">
        <v>213</v>
      </c>
      <c r="S913" s="174" t="str">
        <f>MID(PAA[[#This Row],[Meta Proyecto de Inversión]],1,4)</f>
        <v>8173</v>
      </c>
      <c r="T913" s="174" t="str">
        <f>MID(PAA[[#This Row],[Meta Proyecto de Inversión]],6,2)</f>
        <v>4-</v>
      </c>
      <c r="U913" s="179" t="str">
        <f>IFERROR(VLOOKUP(N913,TD!$B$54:$F$58,2,0)," ")</f>
        <v>O230117</v>
      </c>
      <c r="V913" s="179" t="str">
        <f>IFERROR(VLOOKUP(N913,TD!$B$54:$F$58,3,0)," ")</f>
        <v>4503</v>
      </c>
      <c r="W913" s="179">
        <f>IFERROR(VLOOKUP(N913,TD!$B$54:$F$58,4,0)," ")</f>
        <v>20240255</v>
      </c>
      <c r="X913" s="174" t="s">
        <v>176</v>
      </c>
      <c r="Y913" s="172" t="str">
        <f>IFERROR(VLOOKUP(X913,TD!$J$55:$K$68,2,0)," ")</f>
        <v>Servicio de mantenimiento, dotación (HEA´s y equipo menor) y adquisición de vehiculos   especializados para la atención de emergencias.</v>
      </c>
      <c r="Z913" s="180" t="str">
        <f>CONCATENATE(X913,"-",Y913)</f>
        <v>09-Servicio de mantenimiento, dotación (HEA´s y equipo menor) y adquisición de vehiculos   especializados para la atención de emergencias.</v>
      </c>
      <c r="AA913" s="174" t="s">
        <v>221</v>
      </c>
      <c r="AB913" s="172" t="str">
        <f>IFERROR(VLOOKUP(AA913,TD!$N$55:$O$70,2,0)," ")</f>
        <v>Servicio de atención a emergencias y desastres</v>
      </c>
      <c r="AC913" s="180" t="str">
        <f>CONCATENATE(AA913,"_",AB913)</f>
        <v>004_Servicio de atención a emergencias y desastres</v>
      </c>
      <c r="AD913" s="180" t="str">
        <f>CONCATENATE(Z913," ",AC913)</f>
        <v>09-Servicio de mantenimiento, dotación (HEA´s y equipo menor) y adquisición de vehiculos   especializados para la atención de emergencias. 004_Servicio de atención a emergencias y desastres</v>
      </c>
      <c r="AE913" s="179" t="str">
        <f>CONCATENATE(U913,V913,W913,X913,AA913)</f>
        <v>O23011745032024025509004</v>
      </c>
      <c r="AF913" s="172" t="str">
        <f>IFERROR(VLOOKUP(AD913,TD!$J$70:$K$93,2,0)," ")</f>
        <v>PM/0131/0109/45030040255</v>
      </c>
      <c r="AG913" s="114" t="s">
        <v>385</v>
      </c>
      <c r="AH913" s="181" t="s">
        <v>193</v>
      </c>
      <c r="AI913" s="184" t="str">
        <f>CONCATENATE(PAA[[#This Row],[Id Interno]],"-",PAA[[#This Row],[tipo de Contrato (TH talento humano - B/S bienes y/o servicios)]],"-",S913,"-",T913,"-",PAA[[#This Row],[Objeto de la contratación]])</f>
        <v>20260951-TH-8173-4--Prestar servicios profesionales para la ejecución de actividades administrativas y documentales relacionadas con el procedimiento de equipo menor, en el marco de las estrategias y actividades de la Subdirección Logística – SBLG.</v>
      </c>
    </row>
    <row r="914" spans="2:35" ht="56" x14ac:dyDescent="0.35">
      <c r="B914" s="137">
        <v>20260952</v>
      </c>
      <c r="C914" s="117" t="s">
        <v>882</v>
      </c>
      <c r="D914" s="125" t="s">
        <v>105</v>
      </c>
      <c r="E914" s="125" t="s">
        <v>363</v>
      </c>
      <c r="F914" s="125" t="s">
        <v>144</v>
      </c>
      <c r="G914" s="126" t="s">
        <v>382</v>
      </c>
      <c r="H914" s="132">
        <v>2</v>
      </c>
      <c r="I914" s="132">
        <v>0</v>
      </c>
      <c r="J914" s="127">
        <v>12000000</v>
      </c>
      <c r="K914" s="128" t="s">
        <v>398</v>
      </c>
      <c r="L914" s="176" t="s">
        <v>157</v>
      </c>
      <c r="M914" s="174" t="s">
        <v>483</v>
      </c>
      <c r="N914" s="125" t="s">
        <v>198</v>
      </c>
      <c r="O914" s="174" t="s">
        <v>887</v>
      </c>
      <c r="P914" s="174" t="s">
        <v>348</v>
      </c>
      <c r="Q914" s="129">
        <v>80111600</v>
      </c>
      <c r="R914" s="174" t="s">
        <v>213</v>
      </c>
      <c r="S914" s="174" t="str">
        <f>MID(PAA[[#This Row],[Meta Proyecto de Inversión]],1,4)</f>
        <v>8173</v>
      </c>
      <c r="T914" s="174" t="str">
        <f>MID(PAA[[#This Row],[Meta Proyecto de Inversión]],6,2)</f>
        <v>4-</v>
      </c>
      <c r="U914" s="179" t="str">
        <f>IFERROR(VLOOKUP(N914,TD!$B$54:$F$58,2,0)," ")</f>
        <v>O230117</v>
      </c>
      <c r="V914" s="179" t="str">
        <f>IFERROR(VLOOKUP(N914,TD!$B$54:$F$58,3,0)," ")</f>
        <v>4503</v>
      </c>
      <c r="W914" s="179">
        <f>IFERROR(VLOOKUP(N914,TD!$B$54:$F$58,4,0)," ")</f>
        <v>20240255</v>
      </c>
      <c r="X914" s="174" t="s">
        <v>180</v>
      </c>
      <c r="Y914" s="172" t="str">
        <f>IFERROR(VLOOKUP(X914,TD!$J$55:$K$68,2,0)," ")</f>
        <v>Servicio de apoyo   logístico  en eventos operativos y/o emergencias.</v>
      </c>
      <c r="Z914" s="180" t="str">
        <f>CONCATENATE(X914,"-",Y914)</f>
        <v>12-Servicio de apoyo   logístico  en eventos operativos y/o emergencias.</v>
      </c>
      <c r="AA914" s="174" t="s">
        <v>221</v>
      </c>
      <c r="AB914" s="172" t="str">
        <f>IFERROR(VLOOKUP(AA914,TD!$N$55:$O$70,2,0)," ")</f>
        <v>Servicio de atención a emergencias y desastres</v>
      </c>
      <c r="AC914" s="180" t="str">
        <f>CONCATENATE(AA914,"_",AB914)</f>
        <v>004_Servicio de atención a emergencias y desastres</v>
      </c>
      <c r="AD914" s="180" t="str">
        <f>CONCATENATE(Z914," ",AC914)</f>
        <v>12-Servicio de apoyo   logístico  en eventos operativos y/o emergencias. 004_Servicio de atención a emergencias y desastres</v>
      </c>
      <c r="AE914" s="179" t="str">
        <f>CONCATENATE(U914,V914,W914,X914,AA914)</f>
        <v>O23011745032024025512004</v>
      </c>
      <c r="AF914" s="172" t="str">
        <f>IFERROR(VLOOKUP(AD914,TD!$J$70:$K$93,2,0)," ")</f>
        <v>PM/0131/0112/45030040255</v>
      </c>
      <c r="AG914" s="114" t="s">
        <v>385</v>
      </c>
      <c r="AH914" s="181" t="s">
        <v>193</v>
      </c>
      <c r="AI914" s="184" t="str">
        <f>CONCATENATE(PAA[[#This Row],[Id Interno]],"-",PAA[[#This Row],[tipo de Contrato (TH talento humano - B/S bienes y/o servicios)]],"-",S914,"-",T914,"-",PAA[[#This Row],[Objeto de la contratación]])</f>
        <v>20260952-TH-8173-4--Prestación de servicios profesionales para apoyar la gestión financiera y presupuestal de los proyectos, planes y estrategias a cargo de la Subdirección Logística - SBLG</v>
      </c>
    </row>
    <row r="915" spans="2:35" ht="42" x14ac:dyDescent="0.35">
      <c r="B915" s="137">
        <v>20260954</v>
      </c>
      <c r="C915" s="117" t="s">
        <v>502</v>
      </c>
      <c r="D915" s="125" t="s">
        <v>105</v>
      </c>
      <c r="E915" s="125" t="s">
        <v>363</v>
      </c>
      <c r="F915" s="125" t="s">
        <v>144</v>
      </c>
      <c r="G915" s="126" t="s">
        <v>382</v>
      </c>
      <c r="H915" s="132">
        <v>5</v>
      </c>
      <c r="I915" s="132">
        <v>0</v>
      </c>
      <c r="J915" s="127">
        <v>40000000</v>
      </c>
      <c r="K915" s="128" t="s">
        <v>398</v>
      </c>
      <c r="L915" s="176" t="s">
        <v>157</v>
      </c>
      <c r="M915" s="174" t="s">
        <v>483</v>
      </c>
      <c r="N915" s="125" t="s">
        <v>198</v>
      </c>
      <c r="O915" s="174" t="s">
        <v>887</v>
      </c>
      <c r="P915" s="174" t="s">
        <v>348</v>
      </c>
      <c r="Q915" s="129">
        <v>80111600</v>
      </c>
      <c r="R915" s="174" t="s">
        <v>213</v>
      </c>
      <c r="S915" s="174" t="str">
        <f>MID(PAA[[#This Row],[Meta Proyecto de Inversión]],1,4)</f>
        <v>8173</v>
      </c>
      <c r="T915" s="174" t="str">
        <f>MID(PAA[[#This Row],[Meta Proyecto de Inversión]],6,2)</f>
        <v>4-</v>
      </c>
      <c r="U915" s="179" t="str">
        <f>IFERROR(VLOOKUP(N915,TD!$B$54:$F$58,2,0)," ")</f>
        <v>O230117</v>
      </c>
      <c r="V915" s="179" t="str">
        <f>IFERROR(VLOOKUP(N915,TD!$B$54:$F$58,3,0)," ")</f>
        <v>4503</v>
      </c>
      <c r="W915" s="179">
        <f>IFERROR(VLOOKUP(N915,TD!$B$54:$F$58,4,0)," ")</f>
        <v>20240255</v>
      </c>
      <c r="X915" s="174" t="s">
        <v>176</v>
      </c>
      <c r="Y915" s="172" t="str">
        <f>IFERROR(VLOOKUP(X915,TD!$J$55:$K$68,2,0)," ")</f>
        <v>Servicio de mantenimiento, dotación (HEA´s y equipo menor) y adquisición de vehiculos   especializados para la atención de emergencias.</v>
      </c>
      <c r="Z915" s="180" t="str">
        <f>CONCATENATE(X915,"-",Y915)</f>
        <v>09-Servicio de mantenimiento, dotación (HEA´s y equipo menor) y adquisición de vehiculos   especializados para la atención de emergencias.</v>
      </c>
      <c r="AA915" s="174" t="s">
        <v>221</v>
      </c>
      <c r="AB915" s="172" t="str">
        <f>IFERROR(VLOOKUP(AA915,TD!$N$55:$O$70,2,0)," ")</f>
        <v>Servicio de atención a emergencias y desastres</v>
      </c>
      <c r="AC915" s="180" t="str">
        <f>CONCATENATE(AA915,"_",AB915)</f>
        <v>004_Servicio de atención a emergencias y desastres</v>
      </c>
      <c r="AD915" s="180" t="str">
        <f>CONCATENATE(Z915," ",AC915)</f>
        <v>09-Servicio de mantenimiento, dotación (HEA´s y equipo menor) y adquisición de vehiculos   especializados para la atención de emergencias. 004_Servicio de atención a emergencias y desastres</v>
      </c>
      <c r="AE915" s="179" t="str">
        <f>CONCATENATE(U915,V915,W915,X915,AA915)</f>
        <v>O23011745032024025509004</v>
      </c>
      <c r="AF915" s="172" t="str">
        <f>IFERROR(VLOOKUP(AD915,TD!$J$70:$K$93,2,0)," ")</f>
        <v>PM/0131/0109/45030040255</v>
      </c>
      <c r="AG915" s="114" t="s">
        <v>385</v>
      </c>
      <c r="AH915" s="181" t="s">
        <v>193</v>
      </c>
      <c r="AI915" s="184" t="str">
        <f>CONCATENATE(PAA[[#This Row],[Id Interno]],"-",PAA[[#This Row],[tipo de Contrato (TH talento humano - B/S bienes y/o servicios)]],"-",S915,"-",T915,"-",PAA[[#This Row],[Objeto de la contratación]])</f>
        <v>20260954-TH-8173-4--Prestación de servicios profesionales para la gestión, seguimiento y control administrativo, técnico y operativo del proceso de mantenimiento del parque automotor a cargo de la Subdirección Logística - SBLG.</v>
      </c>
    </row>
    <row r="916" spans="2:35" ht="56" x14ac:dyDescent="0.35">
      <c r="B916" s="137">
        <v>20260955</v>
      </c>
      <c r="C916" s="117" t="s">
        <v>792</v>
      </c>
      <c r="D916" s="125" t="s">
        <v>105</v>
      </c>
      <c r="E916" s="125" t="s">
        <v>363</v>
      </c>
      <c r="F916" s="125" t="s">
        <v>144</v>
      </c>
      <c r="G916" s="126" t="s">
        <v>382</v>
      </c>
      <c r="H916" s="132">
        <v>2</v>
      </c>
      <c r="I916" s="132">
        <v>0</v>
      </c>
      <c r="J916" s="127">
        <v>9000000</v>
      </c>
      <c r="K916" s="128" t="s">
        <v>398</v>
      </c>
      <c r="L916" s="176" t="s">
        <v>157</v>
      </c>
      <c r="M916" s="174" t="s">
        <v>483</v>
      </c>
      <c r="N916" s="125" t="s">
        <v>198</v>
      </c>
      <c r="O916" s="174" t="s">
        <v>887</v>
      </c>
      <c r="P916" s="174" t="s">
        <v>348</v>
      </c>
      <c r="Q916" s="129">
        <v>80111600</v>
      </c>
      <c r="R916" s="174" t="s">
        <v>213</v>
      </c>
      <c r="S916" s="174" t="str">
        <f>MID(PAA[[#This Row],[Meta Proyecto de Inversión]],1,4)</f>
        <v>8173</v>
      </c>
      <c r="T916" s="174" t="str">
        <f>MID(PAA[[#This Row],[Meta Proyecto de Inversión]],6,2)</f>
        <v>4-</v>
      </c>
      <c r="U916" s="179" t="str">
        <f>IFERROR(VLOOKUP(N916,TD!$B$54:$F$58,2,0)," ")</f>
        <v>O230117</v>
      </c>
      <c r="V916" s="179" t="str">
        <f>IFERROR(VLOOKUP(N916,TD!$B$54:$F$58,3,0)," ")</f>
        <v>4503</v>
      </c>
      <c r="W916" s="179">
        <f>IFERROR(VLOOKUP(N916,TD!$B$54:$F$58,4,0)," ")</f>
        <v>20240255</v>
      </c>
      <c r="X916" s="174" t="s">
        <v>180</v>
      </c>
      <c r="Y916" s="172" t="str">
        <f>IFERROR(VLOOKUP(X916,TD!$J$55:$K$68,2,0)," ")</f>
        <v>Servicio de apoyo   logístico  en eventos operativos y/o emergencias.</v>
      </c>
      <c r="Z916" s="180" t="str">
        <f>CONCATENATE(X916,"-",Y916)</f>
        <v>12-Servicio de apoyo   logístico  en eventos operativos y/o emergencias.</v>
      </c>
      <c r="AA916" s="174" t="s">
        <v>221</v>
      </c>
      <c r="AB916" s="172" t="str">
        <f>IFERROR(VLOOKUP(AA916,TD!$N$55:$O$70,2,0)," ")</f>
        <v>Servicio de atención a emergencias y desastres</v>
      </c>
      <c r="AC916" s="180" t="str">
        <f>CONCATENATE(AA916,"_",AB916)</f>
        <v>004_Servicio de atención a emergencias y desastres</v>
      </c>
      <c r="AD916" s="180" t="str">
        <f>CONCATENATE(Z916," ",AC916)</f>
        <v>12-Servicio de apoyo   logístico  en eventos operativos y/o emergencias. 004_Servicio de atención a emergencias y desastres</v>
      </c>
      <c r="AE916" s="179" t="str">
        <f>CONCATENATE(U916,V916,W916,X916,AA916)</f>
        <v>O23011745032024025512004</v>
      </c>
      <c r="AF916" s="172" t="str">
        <f>IFERROR(VLOOKUP(AD916,TD!$J$70:$K$93,2,0)," ")</f>
        <v>PM/0131/0112/45030040255</v>
      </c>
      <c r="AG916" s="130" t="s">
        <v>385</v>
      </c>
      <c r="AH916" s="181" t="s">
        <v>193</v>
      </c>
      <c r="AI916" s="184" t="str">
        <f>CONCATENATE(PAA[[#This Row],[Id Interno]],"-",PAA[[#This Row],[tipo de Contrato (TH talento humano - B/S bienes y/o servicios)]],"-",S916,"-",T916,"-",PAA[[#This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17" spans="2:35" ht="56" x14ac:dyDescent="0.35">
      <c r="B917" s="137">
        <v>20260956</v>
      </c>
      <c r="C917" s="117" t="s">
        <v>789</v>
      </c>
      <c r="D917" s="125" t="s">
        <v>105</v>
      </c>
      <c r="E917" s="125" t="s">
        <v>363</v>
      </c>
      <c r="F917" s="125" t="s">
        <v>145</v>
      </c>
      <c r="G917" s="126" t="s">
        <v>382</v>
      </c>
      <c r="H917" s="132">
        <v>2</v>
      </c>
      <c r="I917" s="132">
        <v>0</v>
      </c>
      <c r="J917" s="127">
        <v>7200000</v>
      </c>
      <c r="K917" s="128" t="s">
        <v>398</v>
      </c>
      <c r="L917" s="176" t="s">
        <v>157</v>
      </c>
      <c r="M917" s="174" t="s">
        <v>483</v>
      </c>
      <c r="N917" s="125" t="s">
        <v>198</v>
      </c>
      <c r="O917" s="174" t="s">
        <v>887</v>
      </c>
      <c r="P917" s="174" t="s">
        <v>348</v>
      </c>
      <c r="Q917" s="129">
        <v>80111600</v>
      </c>
      <c r="R917" s="174" t="s">
        <v>213</v>
      </c>
      <c r="S917" s="174" t="str">
        <f>MID(PAA[[#This Row],[Meta Proyecto de Inversión]],1,4)</f>
        <v>8173</v>
      </c>
      <c r="T917" s="174" t="str">
        <f>MID(PAA[[#This Row],[Meta Proyecto de Inversión]],6,2)</f>
        <v>4-</v>
      </c>
      <c r="U917" s="179" t="str">
        <f>IFERROR(VLOOKUP(N917,TD!$B$54:$F$58,2,0)," ")</f>
        <v>O230117</v>
      </c>
      <c r="V917" s="179" t="str">
        <f>IFERROR(VLOOKUP(N917,TD!$B$54:$F$58,3,0)," ")</f>
        <v>4503</v>
      </c>
      <c r="W917" s="179">
        <f>IFERROR(VLOOKUP(N917,TD!$B$54:$F$58,4,0)," ")</f>
        <v>20240255</v>
      </c>
      <c r="X917" s="174" t="s">
        <v>176</v>
      </c>
      <c r="Y917" s="172" t="str">
        <f>IFERROR(VLOOKUP(X917,TD!$J$55:$K$68,2,0)," ")</f>
        <v>Servicio de mantenimiento, dotación (HEA´s y equipo menor) y adquisición de vehiculos   especializados para la atención de emergencias.</v>
      </c>
      <c r="Z917" s="180" t="str">
        <f>CONCATENATE(X917,"-",Y917)</f>
        <v>09-Servicio de mantenimiento, dotación (HEA´s y equipo menor) y adquisición de vehiculos   especializados para la atención de emergencias.</v>
      </c>
      <c r="AA917" s="174" t="s">
        <v>221</v>
      </c>
      <c r="AB917" s="172" t="str">
        <f>IFERROR(VLOOKUP(AA917,TD!$N$55:$O$70,2,0)," ")</f>
        <v>Servicio de atención a emergencias y desastres</v>
      </c>
      <c r="AC917" s="180" t="str">
        <f>CONCATENATE(AA917,"_",AB917)</f>
        <v>004_Servicio de atención a emergencias y desastres</v>
      </c>
      <c r="AD917" s="180" t="str">
        <f>CONCATENATE(Z917," ",AC917)</f>
        <v>09-Servicio de mantenimiento, dotación (HEA´s y equipo menor) y adquisición de vehiculos   especializados para la atención de emergencias. 004_Servicio de atención a emergencias y desastres</v>
      </c>
      <c r="AE917" s="179" t="str">
        <f>CONCATENATE(U917,V917,W917,X917,AA917)</f>
        <v>O23011745032024025509004</v>
      </c>
      <c r="AF917" s="172" t="str">
        <f>IFERROR(VLOOKUP(AD917,TD!$J$70:$K$93,2,0)," ")</f>
        <v>PM/0131/0109/45030040255</v>
      </c>
      <c r="AG917" s="130" t="s">
        <v>385</v>
      </c>
      <c r="AH917" s="181" t="s">
        <v>193</v>
      </c>
      <c r="AI917" s="184" t="str">
        <f>CONCATENATE(PAA[[#This Row],[Id Interno]],"-",PAA[[#This Row],[tipo de Contrato (TH talento humano - B/S bienes y/o servicios)]],"-",S917,"-",T917,"-",PAA[[#This Row],[Objeto de la contratación]])</f>
        <v>20260956-TH-8173-4--Prestar servicio de apoyo a la gestión para asistir a la Subdirección Logística en el seguimiento técnico y administrativo de los mantenimientos minimos requeridos en la Subdirección Logística - SBLG</v>
      </c>
    </row>
    <row r="918" spans="2:35" ht="56" x14ac:dyDescent="0.35">
      <c r="B918" s="137">
        <v>20260957</v>
      </c>
      <c r="C918" s="117" t="s">
        <v>504</v>
      </c>
      <c r="D918" s="125" t="s">
        <v>105</v>
      </c>
      <c r="E918" s="125" t="s">
        <v>363</v>
      </c>
      <c r="F918" s="125" t="s">
        <v>144</v>
      </c>
      <c r="G918" s="126" t="s">
        <v>383</v>
      </c>
      <c r="H918" s="132">
        <v>2</v>
      </c>
      <c r="I918" s="132">
        <v>0</v>
      </c>
      <c r="J918" s="127">
        <v>11000000</v>
      </c>
      <c r="K918" s="128" t="s">
        <v>398</v>
      </c>
      <c r="L918" s="176" t="s">
        <v>157</v>
      </c>
      <c r="M918" s="174" t="s">
        <v>483</v>
      </c>
      <c r="N918" s="125" t="s">
        <v>198</v>
      </c>
      <c r="O918" s="174" t="s">
        <v>887</v>
      </c>
      <c r="P918" s="174" t="s">
        <v>348</v>
      </c>
      <c r="Q918" s="129">
        <v>80111600</v>
      </c>
      <c r="R918" s="174" t="s">
        <v>213</v>
      </c>
      <c r="S918" s="174" t="str">
        <f>MID(PAA[[#This Row],[Meta Proyecto de Inversión]],1,4)</f>
        <v>8173</v>
      </c>
      <c r="T918" s="174" t="str">
        <f>MID(PAA[[#This Row],[Meta Proyecto de Inversión]],6,2)</f>
        <v>4-</v>
      </c>
      <c r="U918" s="179" t="str">
        <f>IFERROR(VLOOKUP(N918,TD!$B$54:$F$58,2,0)," ")</f>
        <v>O230117</v>
      </c>
      <c r="V918" s="179" t="str">
        <f>IFERROR(VLOOKUP(N918,TD!$B$54:$F$58,3,0)," ")</f>
        <v>4503</v>
      </c>
      <c r="W918" s="179">
        <f>IFERROR(VLOOKUP(N918,TD!$B$54:$F$58,4,0)," ")</f>
        <v>20240255</v>
      </c>
      <c r="X918" s="174" t="s">
        <v>176</v>
      </c>
      <c r="Y918" s="172" t="str">
        <f>IFERROR(VLOOKUP(X918,TD!$J$55:$K$68,2,0)," ")</f>
        <v>Servicio de mantenimiento, dotación (HEA´s y equipo menor) y adquisición de vehiculos   especializados para la atención de emergencias.</v>
      </c>
      <c r="Z918" s="180" t="str">
        <f>CONCATENATE(X918,"-",Y918)</f>
        <v>09-Servicio de mantenimiento, dotación (HEA´s y equipo menor) y adquisición de vehiculos   especializados para la atención de emergencias.</v>
      </c>
      <c r="AA918" s="174" t="s">
        <v>221</v>
      </c>
      <c r="AB918" s="172" t="str">
        <f>IFERROR(VLOOKUP(AA918,TD!$N$55:$O$70,2,0)," ")</f>
        <v>Servicio de atención a emergencias y desastres</v>
      </c>
      <c r="AC918" s="180" t="str">
        <f>CONCATENATE(AA918,"_",AB918)</f>
        <v>004_Servicio de atención a emergencias y desastres</v>
      </c>
      <c r="AD918" s="180" t="str">
        <f>CONCATENATE(Z918," ",AC918)</f>
        <v>09-Servicio de mantenimiento, dotación (HEA´s y equipo menor) y adquisición de vehiculos   especializados para la atención de emergencias. 004_Servicio de atención a emergencias y desastres</v>
      </c>
      <c r="AE918" s="179" t="str">
        <f>CONCATENATE(U918,V918,W918,X918,AA918)</f>
        <v>O23011745032024025509004</v>
      </c>
      <c r="AF918" s="172" t="str">
        <f>IFERROR(VLOOKUP(AD918,TD!$J$70:$K$93,2,0)," ")</f>
        <v>PM/0131/0109/45030040255</v>
      </c>
      <c r="AG918" s="130" t="s">
        <v>385</v>
      </c>
      <c r="AH918" s="181" t="s">
        <v>193</v>
      </c>
      <c r="AI918" s="184" t="str">
        <f>CONCATENATE(PAA[[#This Row],[Id Interno]],"-",PAA[[#This Row],[tipo de Contrato (TH talento humano - B/S bienes y/o servicios)]],"-",S918,"-",T918,"-",PAA[[#This Row],[Objeto de la contratación]])</f>
        <v>20260957-TH-8173-4--Prestación de servicios profesionales para realizar el seguimiento y monitoreo a los diferentes procesos y procedimientos del equipo menor a cargo de la Subdirección Logística - SBLG</v>
      </c>
    </row>
    <row r="919" spans="2:35" ht="56" x14ac:dyDescent="0.35">
      <c r="B919" s="137">
        <v>20260959</v>
      </c>
      <c r="C919" s="117" t="s">
        <v>789</v>
      </c>
      <c r="D919" s="125" t="s">
        <v>105</v>
      </c>
      <c r="E919" s="125" t="s">
        <v>363</v>
      </c>
      <c r="F919" s="125" t="s">
        <v>145</v>
      </c>
      <c r="G919" s="126" t="s">
        <v>383</v>
      </c>
      <c r="H919" s="132">
        <v>2</v>
      </c>
      <c r="I919" s="132">
        <v>0</v>
      </c>
      <c r="J919" s="127">
        <v>7200000</v>
      </c>
      <c r="K919" s="128" t="s">
        <v>398</v>
      </c>
      <c r="L919" s="176" t="s">
        <v>157</v>
      </c>
      <c r="M919" s="174" t="s">
        <v>483</v>
      </c>
      <c r="N919" s="125" t="s">
        <v>198</v>
      </c>
      <c r="O919" s="174" t="s">
        <v>887</v>
      </c>
      <c r="P919" s="174" t="s">
        <v>348</v>
      </c>
      <c r="Q919" s="129">
        <v>80111600</v>
      </c>
      <c r="R919" s="174" t="s">
        <v>213</v>
      </c>
      <c r="S919" s="174" t="str">
        <f>MID(PAA[[#This Row],[Meta Proyecto de Inversión]],1,4)</f>
        <v>8173</v>
      </c>
      <c r="T919" s="174" t="str">
        <f>MID(PAA[[#This Row],[Meta Proyecto de Inversión]],6,2)</f>
        <v>4-</v>
      </c>
      <c r="U919" s="179" t="str">
        <f>IFERROR(VLOOKUP(N919,TD!$B$54:$F$58,2,0)," ")</f>
        <v>O230117</v>
      </c>
      <c r="V919" s="179" t="str">
        <f>IFERROR(VLOOKUP(N919,TD!$B$54:$F$58,3,0)," ")</f>
        <v>4503</v>
      </c>
      <c r="W919" s="179">
        <f>IFERROR(VLOOKUP(N919,TD!$B$54:$F$58,4,0)," ")</f>
        <v>20240255</v>
      </c>
      <c r="X919" s="174" t="s">
        <v>176</v>
      </c>
      <c r="Y919" s="172" t="str">
        <f>IFERROR(VLOOKUP(X919,TD!$J$55:$K$68,2,0)," ")</f>
        <v>Servicio de mantenimiento, dotación (HEA´s y equipo menor) y adquisición de vehiculos   especializados para la atención de emergencias.</v>
      </c>
      <c r="Z919" s="180" t="str">
        <f>CONCATENATE(X919,"-",Y919)</f>
        <v>09-Servicio de mantenimiento, dotación (HEA´s y equipo menor) y adquisición de vehiculos   especializados para la atención de emergencias.</v>
      </c>
      <c r="AA919" s="174" t="s">
        <v>221</v>
      </c>
      <c r="AB919" s="172" t="str">
        <f>IFERROR(VLOOKUP(AA919,TD!$N$55:$O$70,2,0)," ")</f>
        <v>Servicio de atención a emergencias y desastres</v>
      </c>
      <c r="AC919" s="180" t="str">
        <f>CONCATENATE(AA919,"_",AB919)</f>
        <v>004_Servicio de atención a emergencias y desastres</v>
      </c>
      <c r="AD919" s="180" t="str">
        <f>CONCATENATE(Z919," ",AC919)</f>
        <v>09-Servicio de mantenimiento, dotación (HEA´s y equipo menor) y adquisición de vehiculos   especializados para la atención de emergencias. 004_Servicio de atención a emergencias y desastres</v>
      </c>
      <c r="AE919" s="179" t="str">
        <f>CONCATENATE(U919,V919,W919,X919,AA919)</f>
        <v>O23011745032024025509004</v>
      </c>
      <c r="AF919" s="172" t="str">
        <f>IFERROR(VLOOKUP(AD919,TD!$J$70:$K$93,2,0)," ")</f>
        <v>PM/0131/0109/45030040255</v>
      </c>
      <c r="AG919" s="130" t="s">
        <v>385</v>
      </c>
      <c r="AH919" s="181" t="s">
        <v>193</v>
      </c>
      <c r="AI919" s="184" t="str">
        <f>CONCATENATE(PAA[[#This Row],[Id Interno]],"-",PAA[[#This Row],[tipo de Contrato (TH talento humano - B/S bienes y/o servicios)]],"-",S919,"-",T919,"-",PAA[[#This Row],[Objeto de la contratación]])</f>
        <v>20260959-TH-8173-4--Prestar servicio de apoyo a la gestión para asistir a la Subdirección Logística en el seguimiento técnico y administrativo de los mantenimientos minimos requeridos en la Subdirección Logística - SBLG</v>
      </c>
    </row>
    <row r="920" spans="2:35" ht="56" x14ac:dyDescent="0.35">
      <c r="B920" s="143">
        <v>20260962</v>
      </c>
      <c r="C920" s="97" t="s">
        <v>1207</v>
      </c>
      <c r="D920" s="23" t="s">
        <v>105</v>
      </c>
      <c r="E920" s="23" t="s">
        <v>363</v>
      </c>
      <c r="F920" s="23" t="s">
        <v>144</v>
      </c>
      <c r="G920" s="124" t="s">
        <v>380</v>
      </c>
      <c r="H920" s="131">
        <v>3</v>
      </c>
      <c r="I920" s="131">
        <v>0</v>
      </c>
      <c r="J920" s="122">
        <v>29400000</v>
      </c>
      <c r="K920" s="88" t="s">
        <v>398</v>
      </c>
      <c r="L920" s="163" t="s">
        <v>154</v>
      </c>
      <c r="M920" s="166" t="s">
        <v>438</v>
      </c>
      <c r="N920" s="23" t="s">
        <v>198</v>
      </c>
      <c r="O920" s="166" t="s">
        <v>887</v>
      </c>
      <c r="P920" s="166" t="s">
        <v>348</v>
      </c>
      <c r="Q920" s="53">
        <v>80111600</v>
      </c>
      <c r="R920" s="166" t="s">
        <v>218</v>
      </c>
      <c r="S920" s="166" t="str">
        <f>MID(PAA[[#This Row],[Meta Proyecto de Inversión]],1,4)</f>
        <v>8173</v>
      </c>
      <c r="T920" s="166" t="str">
        <f>MID(PAA[[#This Row],[Meta Proyecto de Inversión]],6,2)</f>
        <v>9-</v>
      </c>
      <c r="U920" s="167" t="str">
        <f>IFERROR(VLOOKUP(N920,TD!$B$54:$F$58,2,0)," ")</f>
        <v>O230117</v>
      </c>
      <c r="V920" s="167" t="str">
        <f>IFERROR(VLOOKUP(N920,TD!$B$54:$F$58,3,0)," ")</f>
        <v>4503</v>
      </c>
      <c r="W920" s="167">
        <f>IFERROR(VLOOKUP(N920,TD!$B$54:$F$58,4,0)," ")</f>
        <v>20240255</v>
      </c>
      <c r="X920" s="174" t="s">
        <v>172</v>
      </c>
      <c r="Y920" s="172" t="str">
        <f>IFERROR(VLOOKUP(X920,TD!$J$55:$K$68,2,0)," ")</f>
        <v>Servicio de formación en gestión del riesgo de incendios para el personal UAECOB</v>
      </c>
      <c r="Z920" s="168" t="str">
        <f>CONCATENATE(X920,"-",Y920)</f>
        <v>07-Servicio de formación en gestión del riesgo de incendios para el personal UAECOB</v>
      </c>
      <c r="AA920" s="174" t="s">
        <v>222</v>
      </c>
      <c r="AB920" s="172" t="str">
        <f>IFERROR(VLOOKUP(AA920,TD!$N$55:$O$70,2,0)," ")</f>
        <v>Servicio de educación informal</v>
      </c>
      <c r="AC920" s="168" t="str">
        <f>CONCATENATE(AA920,"_",AB920)</f>
        <v>002_Servicio de educación informal</v>
      </c>
      <c r="AD920" s="168" t="str">
        <f>CONCATENATE(Z920," ",AC920)</f>
        <v>07-Servicio de formación en gestión del riesgo de incendios para el personal UAECOB 002_Servicio de educación informal</v>
      </c>
      <c r="AE920" s="167" t="str">
        <f>CONCATENATE(U920,V920,W920,X920,AA920)</f>
        <v>O23011745032024025507002</v>
      </c>
      <c r="AF920" s="172" t="str">
        <f>IFERROR(VLOOKUP(AD920,TD!$J$70:$K$93,2,0)," ")</f>
        <v>PM/0131/0107/45030020255</v>
      </c>
      <c r="AG920" s="130" t="s">
        <v>385</v>
      </c>
      <c r="AH920" s="175" t="s">
        <v>193</v>
      </c>
      <c r="AI920" s="184" t="str">
        <f>CONCATENATE(PAA[[#This Row],[Id Interno]],"-",PAA[[#This Row],[tipo de Contrato (TH talento humano - B/S bienes y/o servicios)]],"-",S920,"-",T920,"-",PAA[[#This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21" spans="2:35" ht="112" x14ac:dyDescent="0.35">
      <c r="B921" s="137">
        <v>20260963</v>
      </c>
      <c r="C921" s="117" t="s">
        <v>1208</v>
      </c>
      <c r="D921" s="125" t="s">
        <v>105</v>
      </c>
      <c r="E921" s="125" t="s">
        <v>363</v>
      </c>
      <c r="F921" s="125" t="s">
        <v>144</v>
      </c>
      <c r="G921" s="126" t="s">
        <v>380</v>
      </c>
      <c r="H921" s="132">
        <v>3</v>
      </c>
      <c r="I921" s="132">
        <v>0</v>
      </c>
      <c r="J921" s="127">
        <v>25200000</v>
      </c>
      <c r="K921" s="128" t="s">
        <v>398</v>
      </c>
      <c r="L921" s="176" t="s">
        <v>154</v>
      </c>
      <c r="M921" s="174" t="s">
        <v>438</v>
      </c>
      <c r="N921" s="125" t="s">
        <v>198</v>
      </c>
      <c r="O921" s="174" t="s">
        <v>887</v>
      </c>
      <c r="P921" s="174" t="s">
        <v>348</v>
      </c>
      <c r="Q921" s="129">
        <v>80111600</v>
      </c>
      <c r="R921" s="174" t="s">
        <v>218</v>
      </c>
      <c r="S921" s="174" t="str">
        <f>MID(PAA[[#This Row],[Meta Proyecto de Inversión]],1,4)</f>
        <v>8173</v>
      </c>
      <c r="T921" s="174" t="str">
        <f>MID(PAA[[#This Row],[Meta Proyecto de Inversión]],6,2)</f>
        <v>9-</v>
      </c>
      <c r="U921" s="179" t="str">
        <f>IFERROR(VLOOKUP(N921,TD!$B$54:$F$58,2,0)," ")</f>
        <v>O230117</v>
      </c>
      <c r="V921" s="179" t="str">
        <f>IFERROR(VLOOKUP(N921,TD!$B$54:$F$58,3,0)," ")</f>
        <v>4503</v>
      </c>
      <c r="W921" s="179">
        <f>IFERROR(VLOOKUP(N921,TD!$B$54:$F$58,4,0)," ")</f>
        <v>20240255</v>
      </c>
      <c r="X921" s="174" t="s">
        <v>172</v>
      </c>
      <c r="Y921" s="172" t="str">
        <f>IFERROR(VLOOKUP(X921,TD!$J$55:$K$68,2,0)," ")</f>
        <v>Servicio de formación en gestión del riesgo de incendios para el personal UAECOB</v>
      </c>
      <c r="Z921" s="180" t="str">
        <f>CONCATENATE(X921,"-",Y921)</f>
        <v>07-Servicio de formación en gestión del riesgo de incendios para el personal UAECOB</v>
      </c>
      <c r="AA921" s="174" t="s">
        <v>222</v>
      </c>
      <c r="AB921" s="172" t="str">
        <f>IFERROR(VLOOKUP(AA921,TD!$N$55:$O$70,2,0)," ")</f>
        <v>Servicio de educación informal</v>
      </c>
      <c r="AC921" s="180" t="str">
        <f>CONCATENATE(AA921,"_",AB921)</f>
        <v>002_Servicio de educación informal</v>
      </c>
      <c r="AD921" s="180" t="str">
        <f>CONCATENATE(Z921," ",AC921)</f>
        <v>07-Servicio de formación en gestión del riesgo de incendios para el personal UAECOB 002_Servicio de educación informal</v>
      </c>
      <c r="AE921" s="179" t="str">
        <f>CONCATENATE(U921,V921,W921,X921,AA921)</f>
        <v>O23011745032024025507002</v>
      </c>
      <c r="AF921" s="172" t="str">
        <f>IFERROR(VLOOKUP(AD921,TD!$J$70:$K$93,2,0)," ")</f>
        <v>PM/0131/0107/45030020255</v>
      </c>
      <c r="AG921" s="130" t="s">
        <v>385</v>
      </c>
      <c r="AH921" s="175" t="s">
        <v>193</v>
      </c>
      <c r="AI921" s="184" t="str">
        <f>CONCATENATE(PAA[[#This Row],[Id Interno]],"-",PAA[[#This Row],[tipo de Contrato (TH talento humano - B/S bienes y/o servicios)]],"-",S921,"-",T921,"-",PAA[[#This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22" spans="2:35" ht="98" x14ac:dyDescent="0.35">
      <c r="B922" s="137">
        <v>20260964</v>
      </c>
      <c r="C922" s="117" t="s">
        <v>1209</v>
      </c>
      <c r="D922" s="125" t="s">
        <v>105</v>
      </c>
      <c r="E922" s="125" t="s">
        <v>363</v>
      </c>
      <c r="F922" s="125" t="s">
        <v>145</v>
      </c>
      <c r="G922" s="126" t="s">
        <v>380</v>
      </c>
      <c r="H922" s="132">
        <v>3</v>
      </c>
      <c r="I922" s="132">
        <v>0</v>
      </c>
      <c r="J922" s="127">
        <v>11070000</v>
      </c>
      <c r="K922" s="128" t="s">
        <v>398</v>
      </c>
      <c r="L922" s="176" t="s">
        <v>154</v>
      </c>
      <c r="M922" s="174" t="s">
        <v>438</v>
      </c>
      <c r="N922" s="125" t="s">
        <v>198</v>
      </c>
      <c r="O922" s="174" t="s">
        <v>887</v>
      </c>
      <c r="P922" s="174" t="s">
        <v>348</v>
      </c>
      <c r="Q922" s="129">
        <v>80111600</v>
      </c>
      <c r="R922" s="174" t="s">
        <v>218</v>
      </c>
      <c r="S922" s="174" t="str">
        <f>MID(PAA[[#This Row],[Meta Proyecto de Inversión]],1,4)</f>
        <v>8173</v>
      </c>
      <c r="T922" s="174" t="str">
        <f>MID(PAA[[#This Row],[Meta Proyecto de Inversión]],6,2)</f>
        <v>9-</v>
      </c>
      <c r="U922" s="179" t="str">
        <f>IFERROR(VLOOKUP(N922,TD!$B$54:$F$58,2,0)," ")</f>
        <v>O230117</v>
      </c>
      <c r="V922" s="179" t="str">
        <f>IFERROR(VLOOKUP(N922,TD!$B$54:$F$58,3,0)," ")</f>
        <v>4503</v>
      </c>
      <c r="W922" s="179">
        <f>IFERROR(VLOOKUP(N922,TD!$B$54:$F$58,4,0)," ")</f>
        <v>20240255</v>
      </c>
      <c r="X922" s="174" t="s">
        <v>172</v>
      </c>
      <c r="Y922" s="172" t="str">
        <f>IFERROR(VLOOKUP(X922,TD!$J$55:$K$68,2,0)," ")</f>
        <v>Servicio de formación en gestión del riesgo de incendios para el personal UAECOB</v>
      </c>
      <c r="Z922" s="180" t="str">
        <f>CONCATENATE(X922,"-",Y922)</f>
        <v>07-Servicio de formación en gestión del riesgo de incendios para el personal UAECOB</v>
      </c>
      <c r="AA922" s="174" t="s">
        <v>222</v>
      </c>
      <c r="AB922" s="172" t="str">
        <f>IFERROR(VLOOKUP(AA922,TD!$N$55:$O$70,2,0)," ")</f>
        <v>Servicio de educación informal</v>
      </c>
      <c r="AC922" s="180" t="str">
        <f>CONCATENATE(AA922,"_",AB922)</f>
        <v>002_Servicio de educación informal</v>
      </c>
      <c r="AD922" s="180" t="str">
        <f>CONCATENATE(Z922," ",AC922)</f>
        <v>07-Servicio de formación en gestión del riesgo de incendios para el personal UAECOB 002_Servicio de educación informal</v>
      </c>
      <c r="AE922" s="179" t="str">
        <f>CONCATENATE(U922,V922,W922,X922,AA922)</f>
        <v>O23011745032024025507002</v>
      </c>
      <c r="AF922" s="172" t="str">
        <f>IFERROR(VLOOKUP(AD922,TD!$J$70:$K$93,2,0)," ")</f>
        <v>PM/0131/0107/45030020255</v>
      </c>
      <c r="AG922" s="130" t="s">
        <v>385</v>
      </c>
      <c r="AH922" s="181" t="s">
        <v>193</v>
      </c>
      <c r="AI922" s="184" t="str">
        <f>CONCATENATE(PAA[[#This Row],[Id Interno]],"-",PAA[[#This Row],[tipo de Contrato (TH talento humano - B/S bienes y/o servicios)]],"-",S922,"-",T922,"-",PAA[[#This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23" spans="2:35" ht="112" x14ac:dyDescent="0.35">
      <c r="B923" s="137">
        <v>20260965</v>
      </c>
      <c r="C923" s="117" t="s">
        <v>1186</v>
      </c>
      <c r="D923" s="125" t="s">
        <v>105</v>
      </c>
      <c r="E923" s="125" t="s">
        <v>363</v>
      </c>
      <c r="F923" s="125" t="s">
        <v>145</v>
      </c>
      <c r="G923" s="126" t="s">
        <v>381</v>
      </c>
      <c r="H923" s="132">
        <v>3</v>
      </c>
      <c r="I923" s="132">
        <v>0</v>
      </c>
      <c r="J923" s="127">
        <v>11400000</v>
      </c>
      <c r="K923" s="128" t="s">
        <v>398</v>
      </c>
      <c r="L923" s="176" t="s">
        <v>154</v>
      </c>
      <c r="M923" s="174" t="s">
        <v>438</v>
      </c>
      <c r="N923" s="125" t="s">
        <v>198</v>
      </c>
      <c r="O923" s="174" t="s">
        <v>887</v>
      </c>
      <c r="P923" s="174" t="s">
        <v>348</v>
      </c>
      <c r="Q923" s="129">
        <v>80111600</v>
      </c>
      <c r="R923" s="174" t="s">
        <v>218</v>
      </c>
      <c r="S923" s="174" t="str">
        <f>MID(PAA[[#This Row],[Meta Proyecto de Inversión]],1,4)</f>
        <v>8173</v>
      </c>
      <c r="T923" s="174" t="str">
        <f>MID(PAA[[#This Row],[Meta Proyecto de Inversión]],6,2)</f>
        <v>9-</v>
      </c>
      <c r="U923" s="179" t="str">
        <f>IFERROR(VLOOKUP(N923,TD!$B$54:$F$58,2,0)," ")</f>
        <v>O230117</v>
      </c>
      <c r="V923" s="179" t="str">
        <f>IFERROR(VLOOKUP(N923,TD!$B$54:$F$58,3,0)," ")</f>
        <v>4503</v>
      </c>
      <c r="W923" s="179">
        <f>IFERROR(VLOOKUP(N923,TD!$B$54:$F$58,4,0)," ")</f>
        <v>20240255</v>
      </c>
      <c r="X923" s="174" t="s">
        <v>172</v>
      </c>
      <c r="Y923" s="172" t="str">
        <f>IFERROR(VLOOKUP(X923,TD!$J$55:$K$68,2,0)," ")</f>
        <v>Servicio de formación en gestión del riesgo de incendios para el personal UAECOB</v>
      </c>
      <c r="Z923" s="180" t="str">
        <f>CONCATENATE(X923,"-",Y923)</f>
        <v>07-Servicio de formación en gestión del riesgo de incendios para el personal UAECOB</v>
      </c>
      <c r="AA923" s="174" t="s">
        <v>222</v>
      </c>
      <c r="AB923" s="172" t="str">
        <f>IFERROR(VLOOKUP(AA923,TD!$N$55:$O$70,2,0)," ")</f>
        <v>Servicio de educación informal</v>
      </c>
      <c r="AC923" s="180" t="str">
        <f>CONCATENATE(AA923,"_",AB923)</f>
        <v>002_Servicio de educación informal</v>
      </c>
      <c r="AD923" s="180" t="str">
        <f>CONCATENATE(Z923," ",AC923)</f>
        <v>07-Servicio de formación en gestión del riesgo de incendios para el personal UAECOB 002_Servicio de educación informal</v>
      </c>
      <c r="AE923" s="179" t="str">
        <f>CONCATENATE(U923,V923,W923,X923,AA923)</f>
        <v>O23011745032024025507002</v>
      </c>
      <c r="AF923" s="172" t="str">
        <f>IFERROR(VLOOKUP(AD923,TD!$J$70:$K$93,2,0)," ")</f>
        <v>PM/0131/0107/45030020255</v>
      </c>
      <c r="AG923" s="130" t="s">
        <v>385</v>
      </c>
      <c r="AH923" s="181" t="s">
        <v>193</v>
      </c>
      <c r="AI923" s="184" t="str">
        <f>CONCATENATE(PAA[[#This Row],[Id Interno]],"-",PAA[[#This Row],[tipo de Contrato (TH talento humano - B/S bienes y/o servicios)]],"-",S923,"-",T923,"-",PAA[[#This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24" spans="2:35" ht="84" x14ac:dyDescent="0.35">
      <c r="B924" s="137">
        <v>20260966</v>
      </c>
      <c r="C924" s="117" t="s">
        <v>1190</v>
      </c>
      <c r="D924" s="125" t="s">
        <v>105</v>
      </c>
      <c r="E924" s="125" t="s">
        <v>363</v>
      </c>
      <c r="F924" s="125" t="s">
        <v>144</v>
      </c>
      <c r="G924" s="126" t="s">
        <v>381</v>
      </c>
      <c r="H924" s="132">
        <v>2</v>
      </c>
      <c r="I924" s="132">
        <v>0</v>
      </c>
      <c r="J924" s="127">
        <v>12000000</v>
      </c>
      <c r="K924" s="128" t="s">
        <v>398</v>
      </c>
      <c r="L924" s="176" t="s">
        <v>154</v>
      </c>
      <c r="M924" s="174" t="s">
        <v>438</v>
      </c>
      <c r="N924" s="125" t="s">
        <v>198</v>
      </c>
      <c r="O924" s="174" t="s">
        <v>887</v>
      </c>
      <c r="P924" s="174" t="s">
        <v>348</v>
      </c>
      <c r="Q924" s="129">
        <v>80111600</v>
      </c>
      <c r="R924" s="174" t="s">
        <v>218</v>
      </c>
      <c r="S924" s="174" t="str">
        <f>MID(PAA[[#This Row],[Meta Proyecto de Inversión]],1,4)</f>
        <v>8173</v>
      </c>
      <c r="T924" s="174" t="str">
        <f>MID(PAA[[#This Row],[Meta Proyecto de Inversión]],6,2)</f>
        <v>9-</v>
      </c>
      <c r="U924" s="179" t="str">
        <f>IFERROR(VLOOKUP(N924,TD!$B$54:$F$58,2,0)," ")</f>
        <v>O230117</v>
      </c>
      <c r="V924" s="179" t="str">
        <f>IFERROR(VLOOKUP(N924,TD!$B$54:$F$58,3,0)," ")</f>
        <v>4503</v>
      </c>
      <c r="W924" s="179">
        <f>IFERROR(VLOOKUP(N924,TD!$B$54:$F$58,4,0)," ")</f>
        <v>20240255</v>
      </c>
      <c r="X924" s="174" t="s">
        <v>172</v>
      </c>
      <c r="Y924" s="172" t="str">
        <f>IFERROR(VLOOKUP(X924,TD!$J$55:$K$68,2,0)," ")</f>
        <v>Servicio de formación en gestión del riesgo de incendios para el personal UAECOB</v>
      </c>
      <c r="Z924" s="180" t="str">
        <f>CONCATENATE(X924,"-",Y924)</f>
        <v>07-Servicio de formación en gestión del riesgo de incendios para el personal UAECOB</v>
      </c>
      <c r="AA924" s="174" t="s">
        <v>222</v>
      </c>
      <c r="AB924" s="172" t="str">
        <f>IFERROR(VLOOKUP(AA924,TD!$N$55:$O$70,2,0)," ")</f>
        <v>Servicio de educación informal</v>
      </c>
      <c r="AC924" s="180" t="str">
        <f>CONCATENATE(AA924,"_",AB924)</f>
        <v>002_Servicio de educación informal</v>
      </c>
      <c r="AD924" s="180" t="str">
        <f>CONCATENATE(Z924," ",AC924)</f>
        <v>07-Servicio de formación en gestión del riesgo de incendios para el personal UAECOB 002_Servicio de educación informal</v>
      </c>
      <c r="AE924" s="179" t="str">
        <f>CONCATENATE(U924,V924,W924,X924,AA924)</f>
        <v>O23011745032024025507002</v>
      </c>
      <c r="AF924" s="172" t="str">
        <f>IFERROR(VLOOKUP(AD924,TD!$J$70:$K$93,2,0)," ")</f>
        <v>PM/0131/0107/45030020255</v>
      </c>
      <c r="AG924" s="130" t="s">
        <v>385</v>
      </c>
      <c r="AH924" s="181" t="s">
        <v>193</v>
      </c>
      <c r="AI924" s="184" t="str">
        <f>CONCATENATE(PAA[[#This Row],[Id Interno]],"-",PAA[[#This Row],[tipo de Contrato (TH talento humano - B/S bienes y/o servicios)]],"-",S924,"-",T924,"-",PAA[[#This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25" spans="2:35" ht="84" x14ac:dyDescent="0.35">
      <c r="B925" s="143">
        <v>20260967</v>
      </c>
      <c r="C925" s="97" t="s">
        <v>1237</v>
      </c>
      <c r="D925" s="23" t="s">
        <v>105</v>
      </c>
      <c r="E925" s="23" t="s">
        <v>363</v>
      </c>
      <c r="F925" s="23" t="s">
        <v>145</v>
      </c>
      <c r="G925" s="124" t="s">
        <v>381</v>
      </c>
      <c r="H925" s="131">
        <v>3</v>
      </c>
      <c r="I925" s="131">
        <v>0</v>
      </c>
      <c r="J925" s="122">
        <v>12300000</v>
      </c>
      <c r="K925" s="88" t="s">
        <v>398</v>
      </c>
      <c r="L925" s="163" t="s">
        <v>154</v>
      </c>
      <c r="M925" s="166" t="s">
        <v>438</v>
      </c>
      <c r="N925" s="23" t="s">
        <v>198</v>
      </c>
      <c r="O925" s="174" t="s">
        <v>887</v>
      </c>
      <c r="P925" s="166" t="s">
        <v>348</v>
      </c>
      <c r="Q925" s="53">
        <v>80111600</v>
      </c>
      <c r="R925" s="166" t="s">
        <v>218</v>
      </c>
      <c r="S925" s="166" t="str">
        <f>MID(PAA[[#This Row],[Meta Proyecto de Inversión]],1,4)</f>
        <v>8173</v>
      </c>
      <c r="T925" s="166" t="str">
        <f>MID(PAA[[#This Row],[Meta Proyecto de Inversión]],6,2)</f>
        <v>9-</v>
      </c>
      <c r="U925" s="167" t="str">
        <f>IFERROR(VLOOKUP(N925,TD!$B$54:$F$58,2,0)," ")</f>
        <v>O230117</v>
      </c>
      <c r="V925" s="167" t="str">
        <f>IFERROR(VLOOKUP(N925,TD!$B$54:$F$58,3,0)," ")</f>
        <v>4503</v>
      </c>
      <c r="W925" s="167">
        <f>IFERROR(VLOOKUP(N925,TD!$B$54:$F$58,4,0)," ")</f>
        <v>20240255</v>
      </c>
      <c r="X925" s="174" t="s">
        <v>172</v>
      </c>
      <c r="Y925" s="172" t="str">
        <f>IFERROR(VLOOKUP(X925,TD!$J$55:$K$68,2,0)," ")</f>
        <v>Servicio de formación en gestión del riesgo de incendios para el personal UAECOB</v>
      </c>
      <c r="Z925" s="180" t="str">
        <f>CONCATENATE(X925,"-",Y925)</f>
        <v>07-Servicio de formación en gestión del riesgo de incendios para el personal UAECOB</v>
      </c>
      <c r="AA925" s="174" t="s">
        <v>222</v>
      </c>
      <c r="AB925" s="172" t="str">
        <f>IFERROR(VLOOKUP(AA925,TD!$N$55:$O$70,2,0)," ")</f>
        <v>Servicio de educación informal</v>
      </c>
      <c r="AC925" s="168" t="str">
        <f>CONCATENATE(AA925,"_",AB925)</f>
        <v>002_Servicio de educación informal</v>
      </c>
      <c r="AD925" s="168" t="str">
        <f>CONCATENATE(Z925," ",AC925)</f>
        <v>07-Servicio de formación en gestión del riesgo de incendios para el personal UAECOB 002_Servicio de educación informal</v>
      </c>
      <c r="AE925" s="167" t="str">
        <f>CONCATENATE(U925,V925,W925,X925,AA925)</f>
        <v>O23011745032024025507002</v>
      </c>
      <c r="AF925" s="172" t="str">
        <f>IFERROR(VLOOKUP(AD925,TD!$J$70:$K$93,2,0)," ")</f>
        <v>PM/0131/0107/45030020255</v>
      </c>
      <c r="AG925" s="114" t="s">
        <v>385</v>
      </c>
      <c r="AH925" s="175" t="s">
        <v>193</v>
      </c>
      <c r="AI925" s="184" t="str">
        <f>CONCATENATE(PAA[[#This Row],[Id Interno]],"-",PAA[[#This Row],[tipo de Contrato (TH talento humano - B/S bienes y/o servicios)]],"-",S925,"-",T925,"-",PAA[[#This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 como los procesos de capacitación, formación y entrenamiento del personal uniformado.</v>
      </c>
    </row>
    <row r="926" spans="2:35" ht="84" x14ac:dyDescent="0.35">
      <c r="B926" s="137">
        <v>20260968</v>
      </c>
      <c r="C926" s="117" t="s">
        <v>1210</v>
      </c>
      <c r="D926" s="125" t="s">
        <v>105</v>
      </c>
      <c r="E926" s="125" t="s">
        <v>363</v>
      </c>
      <c r="F926" s="125" t="s">
        <v>144</v>
      </c>
      <c r="G926" s="126" t="s">
        <v>381</v>
      </c>
      <c r="H926" s="132">
        <v>2</v>
      </c>
      <c r="I926" s="132">
        <v>0</v>
      </c>
      <c r="J926" s="127">
        <v>11000000</v>
      </c>
      <c r="K926" s="128" t="s">
        <v>398</v>
      </c>
      <c r="L926" s="176" t="s">
        <v>154</v>
      </c>
      <c r="M926" s="174" t="s">
        <v>438</v>
      </c>
      <c r="N926" s="125" t="s">
        <v>198</v>
      </c>
      <c r="O926" s="174" t="s">
        <v>887</v>
      </c>
      <c r="P926" s="174" t="s">
        <v>348</v>
      </c>
      <c r="Q926" s="129">
        <v>80111600</v>
      </c>
      <c r="R926" s="174" t="s">
        <v>218</v>
      </c>
      <c r="S926" s="174" t="str">
        <f>MID(PAA[[#This Row],[Meta Proyecto de Inversión]],1,4)</f>
        <v>8173</v>
      </c>
      <c r="T926" s="174" t="str">
        <f>MID(PAA[[#This Row],[Meta Proyecto de Inversión]],6,2)</f>
        <v>9-</v>
      </c>
      <c r="U926" s="179" t="str">
        <f>IFERROR(VLOOKUP(N926,TD!$B$54:$F$58,2,0)," ")</f>
        <v>O230117</v>
      </c>
      <c r="V926" s="179" t="str">
        <f>IFERROR(VLOOKUP(N926,TD!$B$54:$F$58,3,0)," ")</f>
        <v>4503</v>
      </c>
      <c r="W926" s="179">
        <f>IFERROR(VLOOKUP(N926,TD!$B$54:$F$58,4,0)," ")</f>
        <v>20240255</v>
      </c>
      <c r="X926" s="174" t="s">
        <v>172</v>
      </c>
      <c r="Y926" s="172" t="str">
        <f>IFERROR(VLOOKUP(X926,TD!$J$55:$K$68,2,0)," ")</f>
        <v>Servicio de formación en gestión del riesgo de incendios para el personal UAECOB</v>
      </c>
      <c r="Z926" s="180" t="str">
        <f>CONCATENATE(X926,"-",Y926)</f>
        <v>07-Servicio de formación en gestión del riesgo de incendios para el personal UAECOB</v>
      </c>
      <c r="AA926" s="174" t="s">
        <v>222</v>
      </c>
      <c r="AB926" s="172" t="str">
        <f>IFERROR(VLOOKUP(AA926,TD!$N$55:$O$70,2,0)," ")</f>
        <v>Servicio de educación informal</v>
      </c>
      <c r="AC926" s="180" t="str">
        <f>CONCATENATE(AA926,"_",AB926)</f>
        <v>002_Servicio de educación informal</v>
      </c>
      <c r="AD926" s="180" t="str">
        <f>CONCATENATE(Z926," ",AC926)</f>
        <v>07-Servicio de formación en gestión del riesgo de incendios para el personal UAECOB 002_Servicio de educación informal</v>
      </c>
      <c r="AE926" s="179" t="str">
        <f>CONCATENATE(U926,V926,W926,X926,AA926)</f>
        <v>O23011745032024025507002</v>
      </c>
      <c r="AF926" s="172" t="str">
        <f>IFERROR(VLOOKUP(AD926,TD!$J$70:$K$93,2,0)," ")</f>
        <v>PM/0131/0107/45030020255</v>
      </c>
      <c r="AG926" s="114" t="s">
        <v>385</v>
      </c>
      <c r="AH926" s="175" t="s">
        <v>193</v>
      </c>
      <c r="AI926" s="184" t="str">
        <f>CONCATENATE(PAA[[#This Row],[Id Interno]],"-",PAA[[#This Row],[tipo de Contrato (TH talento humano - B/S bienes y/o servicios)]],"-",S926,"-",T926,"-",PAA[[#This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27" spans="2:35" ht="70" x14ac:dyDescent="0.35">
      <c r="B927" s="143">
        <v>20260969</v>
      </c>
      <c r="C927" s="97" t="s">
        <v>1225</v>
      </c>
      <c r="D927" s="23" t="s">
        <v>105</v>
      </c>
      <c r="E927" s="23" t="s">
        <v>363</v>
      </c>
      <c r="F927" s="23" t="s">
        <v>144</v>
      </c>
      <c r="G927" s="124" t="s">
        <v>381</v>
      </c>
      <c r="H927" s="131">
        <v>2</v>
      </c>
      <c r="I927" s="131">
        <v>0</v>
      </c>
      <c r="J927" s="122">
        <v>12000000</v>
      </c>
      <c r="K927" s="88" t="s">
        <v>398</v>
      </c>
      <c r="L927" s="163" t="s">
        <v>154</v>
      </c>
      <c r="M927" s="166" t="s">
        <v>438</v>
      </c>
      <c r="N927" s="23" t="s">
        <v>198</v>
      </c>
      <c r="O927" s="166" t="s">
        <v>887</v>
      </c>
      <c r="P927" s="166" t="s">
        <v>348</v>
      </c>
      <c r="Q927" s="53">
        <v>80111600</v>
      </c>
      <c r="R927" s="166" t="s">
        <v>218</v>
      </c>
      <c r="S927" s="166" t="str">
        <f>MID(PAA[[#This Row],[Meta Proyecto de Inversión]],1,4)</f>
        <v>8173</v>
      </c>
      <c r="T927" s="166" t="str">
        <f>MID(PAA[[#This Row],[Meta Proyecto de Inversión]],6,2)</f>
        <v>9-</v>
      </c>
      <c r="U927" s="167" t="str">
        <f>IFERROR(VLOOKUP(N927,TD!$B$54:$F$58,2,0)," ")</f>
        <v>O230117</v>
      </c>
      <c r="V927" s="167" t="str">
        <f>IFERROR(VLOOKUP(N927,TD!$B$54:$F$58,3,0)," ")</f>
        <v>4503</v>
      </c>
      <c r="W927" s="167">
        <f>IFERROR(VLOOKUP(N927,TD!$B$54:$F$58,4,0)," ")</f>
        <v>20240255</v>
      </c>
      <c r="X927" s="166" t="s">
        <v>172</v>
      </c>
      <c r="Y927" s="172" t="str">
        <f>IFERROR(VLOOKUP(X927,TD!$J$55:$K$68,2,0)," ")</f>
        <v>Servicio de formación en gestión del riesgo de incendios para el personal UAECOB</v>
      </c>
      <c r="Z927" s="168" t="str">
        <f>CONCATENATE(X927,"-",Y927)</f>
        <v>07-Servicio de formación en gestión del riesgo de incendios para el personal UAECOB</v>
      </c>
      <c r="AA927" s="166" t="s">
        <v>222</v>
      </c>
      <c r="AB927" s="172" t="str">
        <f>IFERROR(VLOOKUP(AA927,TD!$N$55:$O$70,2,0)," ")</f>
        <v>Servicio de educación informal</v>
      </c>
      <c r="AC927" s="168" t="str">
        <f>CONCATENATE(AA927,"_",AB927)</f>
        <v>002_Servicio de educación informal</v>
      </c>
      <c r="AD927" s="168" t="str">
        <f>CONCATENATE(Z927," ",AC927)</f>
        <v>07-Servicio de formación en gestión del riesgo de incendios para el personal UAECOB 002_Servicio de educación informal</v>
      </c>
      <c r="AE927" s="167" t="str">
        <f>CONCATENATE(U927,V927,W927,X927,AA927)</f>
        <v>O23011745032024025507002</v>
      </c>
      <c r="AF927" s="172" t="str">
        <f>IFERROR(VLOOKUP(AD927,TD!$J$70:$K$93,2,0)," ")</f>
        <v>PM/0131/0107/45030020255</v>
      </c>
      <c r="AG927" s="114" t="s">
        <v>385</v>
      </c>
      <c r="AH927" s="175" t="s">
        <v>193</v>
      </c>
      <c r="AI927" s="184" t="str">
        <f>CONCATENATE(PAA[[#This Row],[Id Interno]],"-",PAA[[#This Row],[tipo de Contrato (TH talento humano - B/S bienes y/o servicios)]],"-",S927,"-",T927,"-",PAA[[#This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28" spans="2:35" ht="84" x14ac:dyDescent="0.35">
      <c r="B928" s="143">
        <v>20260970</v>
      </c>
      <c r="C928" s="97" t="s">
        <v>1211</v>
      </c>
      <c r="D928" s="23" t="s">
        <v>105</v>
      </c>
      <c r="E928" s="23" t="s">
        <v>363</v>
      </c>
      <c r="F928" s="23" t="s">
        <v>144</v>
      </c>
      <c r="G928" s="124" t="s">
        <v>381</v>
      </c>
      <c r="H928" s="131">
        <v>2</v>
      </c>
      <c r="I928" s="131">
        <v>0</v>
      </c>
      <c r="J928" s="122">
        <v>10400000</v>
      </c>
      <c r="K928" s="88" t="s">
        <v>398</v>
      </c>
      <c r="L928" s="163" t="s">
        <v>154</v>
      </c>
      <c r="M928" s="166" t="s">
        <v>438</v>
      </c>
      <c r="N928" s="23" t="s">
        <v>198</v>
      </c>
      <c r="O928" s="166" t="s">
        <v>887</v>
      </c>
      <c r="P928" s="166" t="s">
        <v>348</v>
      </c>
      <c r="Q928" s="53">
        <v>80111600</v>
      </c>
      <c r="R928" s="166" t="s">
        <v>218</v>
      </c>
      <c r="S928" s="166" t="str">
        <f>MID(PAA[[#This Row],[Meta Proyecto de Inversión]],1,4)</f>
        <v>8173</v>
      </c>
      <c r="T928" s="166" t="str">
        <f>MID(PAA[[#This Row],[Meta Proyecto de Inversión]],6,2)</f>
        <v>9-</v>
      </c>
      <c r="U928" s="167" t="str">
        <f>IFERROR(VLOOKUP(N928,TD!$B$54:$F$58,2,0)," ")</f>
        <v>O230117</v>
      </c>
      <c r="V928" s="167" t="str">
        <f>IFERROR(VLOOKUP(N928,TD!$B$54:$F$58,3,0)," ")</f>
        <v>4503</v>
      </c>
      <c r="W928" s="167">
        <f>IFERROR(VLOOKUP(N928,TD!$B$54:$F$58,4,0)," ")</f>
        <v>20240255</v>
      </c>
      <c r="X928" s="166" t="s">
        <v>172</v>
      </c>
      <c r="Y928" s="172" t="str">
        <f>IFERROR(VLOOKUP(X928,TD!$J$55:$K$68,2,0)," ")</f>
        <v>Servicio de formación en gestión del riesgo de incendios para el personal UAECOB</v>
      </c>
      <c r="Z928" s="168" t="str">
        <f>CONCATENATE(X928,"-",Y928)</f>
        <v>07-Servicio de formación en gestión del riesgo de incendios para el personal UAECOB</v>
      </c>
      <c r="AA928" s="166" t="s">
        <v>222</v>
      </c>
      <c r="AB928" s="172" t="str">
        <f>IFERROR(VLOOKUP(AA928,TD!$N$55:$O$70,2,0)," ")</f>
        <v>Servicio de educación informal</v>
      </c>
      <c r="AC928" s="168" t="str">
        <f>CONCATENATE(AA928,"_",AB928)</f>
        <v>002_Servicio de educación informal</v>
      </c>
      <c r="AD928" s="168" t="str">
        <f>CONCATENATE(Z928," ",AC928)</f>
        <v>07-Servicio de formación en gestión del riesgo de incendios para el personal UAECOB 002_Servicio de educación informal</v>
      </c>
      <c r="AE928" s="167" t="str">
        <f>CONCATENATE(U928,V928,W928,X928,AA928)</f>
        <v>O23011745032024025507002</v>
      </c>
      <c r="AF928" s="172" t="str">
        <f>IFERROR(VLOOKUP(AD928,TD!$J$70:$K$93,2,0)," ")</f>
        <v>PM/0131/0107/45030020255</v>
      </c>
      <c r="AG928" s="114" t="s">
        <v>385</v>
      </c>
      <c r="AH928" s="175" t="s">
        <v>193</v>
      </c>
      <c r="AI928" s="184" t="str">
        <f>CONCATENATE(PAA[[#This Row],[Id Interno]],"-",PAA[[#This Row],[tipo de Contrato (TH talento humano - B/S bienes y/o servicios)]],"-",S928,"-",T928,"-",PAA[[#This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29" spans="2:35" ht="98" x14ac:dyDescent="0.35">
      <c r="B929" s="143">
        <v>20260971</v>
      </c>
      <c r="C929" s="97" t="s">
        <v>1212</v>
      </c>
      <c r="D929" s="23" t="s">
        <v>105</v>
      </c>
      <c r="E929" s="23" t="s">
        <v>363</v>
      </c>
      <c r="F929" s="23" t="s">
        <v>144</v>
      </c>
      <c r="G929" s="124" t="s">
        <v>381</v>
      </c>
      <c r="H929" s="131">
        <v>3</v>
      </c>
      <c r="I929" s="131">
        <v>0</v>
      </c>
      <c r="J929" s="122">
        <v>23700000</v>
      </c>
      <c r="K929" s="88" t="s">
        <v>398</v>
      </c>
      <c r="L929" s="163" t="s">
        <v>154</v>
      </c>
      <c r="M929" s="166" t="s">
        <v>438</v>
      </c>
      <c r="N929" s="23" t="s">
        <v>198</v>
      </c>
      <c r="O929" s="166" t="s">
        <v>887</v>
      </c>
      <c r="P929" s="166" t="s">
        <v>348</v>
      </c>
      <c r="Q929" s="53">
        <v>80111600</v>
      </c>
      <c r="R929" s="166" t="s">
        <v>218</v>
      </c>
      <c r="S929" s="166" t="str">
        <f>MID(PAA[[#This Row],[Meta Proyecto de Inversión]],1,4)</f>
        <v>8173</v>
      </c>
      <c r="T929" s="166" t="str">
        <f>MID(PAA[[#This Row],[Meta Proyecto de Inversión]],6,2)</f>
        <v>9-</v>
      </c>
      <c r="U929" s="167" t="str">
        <f>IFERROR(VLOOKUP(N929,TD!$B$54:$F$58,2,0)," ")</f>
        <v>O230117</v>
      </c>
      <c r="V929" s="167" t="str">
        <f>IFERROR(VLOOKUP(N929,TD!$B$54:$F$58,3,0)," ")</f>
        <v>4503</v>
      </c>
      <c r="W929" s="167">
        <f>IFERROR(VLOOKUP(N929,TD!$B$54:$F$58,4,0)," ")</f>
        <v>20240255</v>
      </c>
      <c r="X929" s="166" t="s">
        <v>172</v>
      </c>
      <c r="Y929" s="172" t="str">
        <f>IFERROR(VLOOKUP(X929,TD!$J$55:$K$68,2,0)," ")</f>
        <v>Servicio de formación en gestión del riesgo de incendios para el personal UAECOB</v>
      </c>
      <c r="Z929" s="168" t="str">
        <f>CONCATENATE(X929,"-",Y929)</f>
        <v>07-Servicio de formación en gestión del riesgo de incendios para el personal UAECOB</v>
      </c>
      <c r="AA929" s="166" t="s">
        <v>222</v>
      </c>
      <c r="AB929" s="172" t="str">
        <f>IFERROR(VLOOKUP(AA929,TD!$N$55:$O$70,2,0)," ")</f>
        <v>Servicio de educación informal</v>
      </c>
      <c r="AC929" s="168" t="str">
        <f>CONCATENATE(AA929,"_",AB929)</f>
        <v>002_Servicio de educación informal</v>
      </c>
      <c r="AD929" s="168" t="str">
        <f>CONCATENATE(Z929," ",AC929)</f>
        <v>07-Servicio de formación en gestión del riesgo de incendios para el personal UAECOB 002_Servicio de educación informal</v>
      </c>
      <c r="AE929" s="167" t="str">
        <f>CONCATENATE(U929,V929,W929,X929,AA929)</f>
        <v>O23011745032024025507002</v>
      </c>
      <c r="AF929" s="172" t="str">
        <f>IFERROR(VLOOKUP(AD929,TD!$J$70:$K$93,2,0)," ")</f>
        <v>PM/0131/0107/45030020255</v>
      </c>
      <c r="AG929" s="114" t="s">
        <v>385</v>
      </c>
      <c r="AH929" s="175" t="s">
        <v>194</v>
      </c>
      <c r="AI929" s="184" t="str">
        <f>CONCATENATE(PAA[[#This Row],[Id Interno]],"-",PAA[[#This Row],[tipo de Contrato (TH talento humano - B/S bienes y/o servicios)]],"-",S929,"-",T929,"-",PAA[[#This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30" spans="2:35" ht="84" x14ac:dyDescent="0.35">
      <c r="B930" s="143">
        <v>20260972</v>
      </c>
      <c r="C930" s="97" t="s">
        <v>1213</v>
      </c>
      <c r="D930" s="23" t="s">
        <v>105</v>
      </c>
      <c r="E930" s="23" t="s">
        <v>363</v>
      </c>
      <c r="F930" s="23" t="s">
        <v>144</v>
      </c>
      <c r="G930" s="124" t="s">
        <v>382</v>
      </c>
      <c r="H930" s="131">
        <v>2</v>
      </c>
      <c r="I930" s="131">
        <v>15</v>
      </c>
      <c r="J930" s="122">
        <v>20000000</v>
      </c>
      <c r="K930" s="88" t="s">
        <v>398</v>
      </c>
      <c r="L930" s="163" t="s">
        <v>154</v>
      </c>
      <c r="M930" s="166" t="s">
        <v>438</v>
      </c>
      <c r="N930" s="23" t="s">
        <v>198</v>
      </c>
      <c r="O930" s="166" t="s">
        <v>887</v>
      </c>
      <c r="P930" s="166" t="s">
        <v>348</v>
      </c>
      <c r="Q930" s="53">
        <v>80111600</v>
      </c>
      <c r="R930" s="166" t="s">
        <v>218</v>
      </c>
      <c r="S930" s="166" t="str">
        <f>MID(PAA[[#This Row],[Meta Proyecto de Inversión]],1,4)</f>
        <v>8173</v>
      </c>
      <c r="T930" s="166" t="str">
        <f>MID(PAA[[#This Row],[Meta Proyecto de Inversión]],6,2)</f>
        <v>9-</v>
      </c>
      <c r="U930" s="167" t="str">
        <f>IFERROR(VLOOKUP(N930,TD!$B$54:$F$58,2,0)," ")</f>
        <v>O230117</v>
      </c>
      <c r="V930" s="167" t="str">
        <f>IFERROR(VLOOKUP(N930,TD!$B$54:$F$58,3,0)," ")</f>
        <v>4503</v>
      </c>
      <c r="W930" s="167">
        <f>IFERROR(VLOOKUP(N930,TD!$B$54:$F$58,4,0)," ")</f>
        <v>20240255</v>
      </c>
      <c r="X930" s="166" t="s">
        <v>172</v>
      </c>
      <c r="Y930" s="172" t="str">
        <f>IFERROR(VLOOKUP(X930,TD!$J$55:$K$68,2,0)," ")</f>
        <v>Servicio de formación en gestión del riesgo de incendios para el personal UAECOB</v>
      </c>
      <c r="Z930" s="168" t="str">
        <f>CONCATENATE(X930,"-",Y930)</f>
        <v>07-Servicio de formación en gestión del riesgo de incendios para el personal UAECOB</v>
      </c>
      <c r="AA930" s="166" t="s">
        <v>222</v>
      </c>
      <c r="AB930" s="172" t="str">
        <f>IFERROR(VLOOKUP(AA930,TD!$N$55:$O$70,2,0)," ")</f>
        <v>Servicio de educación informal</v>
      </c>
      <c r="AC930" s="168" t="str">
        <f>CONCATENATE(AA930,"_",AB930)</f>
        <v>002_Servicio de educación informal</v>
      </c>
      <c r="AD930" s="168" t="str">
        <f>CONCATENATE(Z930," ",AC930)</f>
        <v>07-Servicio de formación en gestión del riesgo de incendios para el personal UAECOB 002_Servicio de educación informal</v>
      </c>
      <c r="AE930" s="167" t="str">
        <f>CONCATENATE(U930,V930,W930,X930,AA930)</f>
        <v>O23011745032024025507002</v>
      </c>
      <c r="AF930" s="172" t="str">
        <f>IFERROR(VLOOKUP(AD930,TD!$J$70:$K$93,2,0)," ")</f>
        <v>PM/0131/0107/45030020255</v>
      </c>
      <c r="AG930" s="114" t="s">
        <v>385</v>
      </c>
      <c r="AH930" s="175" t="s">
        <v>194</v>
      </c>
      <c r="AI930" s="184" t="str">
        <f>CONCATENATE(PAA[[#This Row],[Id Interno]],"-",PAA[[#This Row],[tipo de Contrato (TH talento humano - B/S bienes y/o servicios)]],"-",S930,"-",T930,"-",PAA[[#This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31" spans="2:35" ht="98" x14ac:dyDescent="0.35">
      <c r="B931" s="143">
        <v>20260973</v>
      </c>
      <c r="C931" s="97" t="s">
        <v>1214</v>
      </c>
      <c r="D931" s="23" t="s">
        <v>105</v>
      </c>
      <c r="E931" s="23" t="s">
        <v>363</v>
      </c>
      <c r="F931" s="23" t="s">
        <v>144</v>
      </c>
      <c r="G931" s="124" t="s">
        <v>382</v>
      </c>
      <c r="H931" s="131">
        <v>2</v>
      </c>
      <c r="I931" s="131">
        <v>0</v>
      </c>
      <c r="J931" s="122">
        <v>14000000</v>
      </c>
      <c r="K931" s="88" t="s">
        <v>398</v>
      </c>
      <c r="L931" s="163" t="s">
        <v>154</v>
      </c>
      <c r="M931" s="166" t="s">
        <v>438</v>
      </c>
      <c r="N931" s="23" t="s">
        <v>198</v>
      </c>
      <c r="O931" s="166" t="s">
        <v>887</v>
      </c>
      <c r="P931" s="166" t="s">
        <v>348</v>
      </c>
      <c r="Q931" s="53">
        <v>80111600</v>
      </c>
      <c r="R931" s="166" t="s">
        <v>218</v>
      </c>
      <c r="S931" s="166" t="str">
        <f>MID(PAA[[#This Row],[Meta Proyecto de Inversión]],1,4)</f>
        <v>8173</v>
      </c>
      <c r="T931" s="166" t="str">
        <f>MID(PAA[[#This Row],[Meta Proyecto de Inversión]],6,2)</f>
        <v>9-</v>
      </c>
      <c r="U931" s="167" t="str">
        <f>IFERROR(VLOOKUP(N931,TD!$B$54:$F$58,2,0)," ")</f>
        <v>O230117</v>
      </c>
      <c r="V931" s="167" t="str">
        <f>IFERROR(VLOOKUP(N931,TD!$B$54:$F$58,3,0)," ")</f>
        <v>4503</v>
      </c>
      <c r="W931" s="167">
        <f>IFERROR(VLOOKUP(N931,TD!$B$54:$F$58,4,0)," ")</f>
        <v>20240255</v>
      </c>
      <c r="X931" s="166" t="s">
        <v>172</v>
      </c>
      <c r="Y931" s="172" t="str">
        <f>IFERROR(VLOOKUP(X931,TD!$J$55:$K$68,2,0)," ")</f>
        <v>Servicio de formación en gestión del riesgo de incendios para el personal UAECOB</v>
      </c>
      <c r="Z931" s="168" t="str">
        <f>CONCATENATE(X931,"-",Y931)</f>
        <v>07-Servicio de formación en gestión del riesgo de incendios para el personal UAECOB</v>
      </c>
      <c r="AA931" s="166" t="s">
        <v>222</v>
      </c>
      <c r="AB931" s="172" t="str">
        <f>IFERROR(VLOOKUP(AA931,TD!$N$55:$O$70,2,0)," ")</f>
        <v>Servicio de educación informal</v>
      </c>
      <c r="AC931" s="168" t="str">
        <f>CONCATENATE(AA931,"_",AB931)</f>
        <v>002_Servicio de educación informal</v>
      </c>
      <c r="AD931" s="168" t="str">
        <f>CONCATENATE(Z931," ",AC931)</f>
        <v>07-Servicio de formación en gestión del riesgo de incendios para el personal UAECOB 002_Servicio de educación informal</v>
      </c>
      <c r="AE931" s="167" t="str">
        <f>CONCATENATE(U931,V931,W931,X931,AA931)</f>
        <v>O23011745032024025507002</v>
      </c>
      <c r="AF931" s="172" t="str">
        <f>IFERROR(VLOOKUP(AD931,TD!$J$70:$K$93,2,0)," ")</f>
        <v>PM/0131/0107/45030020255</v>
      </c>
      <c r="AG931" s="114" t="s">
        <v>385</v>
      </c>
      <c r="AH931" s="175" t="s">
        <v>194</v>
      </c>
      <c r="AI931" s="184" t="str">
        <f>CONCATENATE(PAA[[#This Row],[Id Interno]],"-",PAA[[#This Row],[tipo de Contrato (TH talento humano - B/S bienes y/o servicios)]],"-",S931,"-",T931,"-",PAA[[#This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32" spans="2:35" ht="98" x14ac:dyDescent="0.35">
      <c r="B932" s="155">
        <v>20260974</v>
      </c>
      <c r="C932" s="97" t="s">
        <v>1215</v>
      </c>
      <c r="D932" s="97" t="s">
        <v>105</v>
      </c>
      <c r="E932" s="97" t="s">
        <v>363</v>
      </c>
      <c r="F932" s="97" t="s">
        <v>144</v>
      </c>
      <c r="G932" s="124" t="s">
        <v>383</v>
      </c>
      <c r="H932" s="150">
        <v>2</v>
      </c>
      <c r="I932" s="150">
        <v>0</v>
      </c>
      <c r="J932" s="114">
        <v>11000000</v>
      </c>
      <c r="K932" s="121" t="s">
        <v>398</v>
      </c>
      <c r="L932" s="164" t="s">
        <v>154</v>
      </c>
      <c r="M932" s="171" t="s">
        <v>438</v>
      </c>
      <c r="N932" s="97" t="s">
        <v>198</v>
      </c>
      <c r="O932" s="171" t="s">
        <v>887</v>
      </c>
      <c r="P932" s="171" t="s">
        <v>348</v>
      </c>
      <c r="Q932" s="123">
        <v>80111600</v>
      </c>
      <c r="R932" s="171" t="s">
        <v>218</v>
      </c>
      <c r="S932" s="166" t="str">
        <f>MID(PAA[[#This Row],[Meta Proyecto de Inversión]],1,4)</f>
        <v>8173</v>
      </c>
      <c r="T932" s="166" t="str">
        <f>MID(PAA[[#This Row],[Meta Proyecto de Inversión]],6,2)</f>
        <v>9-</v>
      </c>
      <c r="U932" s="172" t="str">
        <f>IFERROR(VLOOKUP(N932,TD!$B$54:$F$58,2,0)," ")</f>
        <v>O230117</v>
      </c>
      <c r="V932" s="172" t="str">
        <f>IFERROR(VLOOKUP(N932,TD!$B$54:$F$58,3,0)," ")</f>
        <v>4503</v>
      </c>
      <c r="W932" s="172">
        <f>IFERROR(VLOOKUP(N932,TD!$B$54:$F$58,4,0)," ")</f>
        <v>20240255</v>
      </c>
      <c r="X932" s="171" t="s">
        <v>172</v>
      </c>
      <c r="Y932" s="172" t="str">
        <f>IFERROR(VLOOKUP(X932,TD!$J$55:$K$68,2,0)," ")</f>
        <v>Servicio de formación en gestión del riesgo de incendios para el personal UAECOB</v>
      </c>
      <c r="Z932" s="168" t="str">
        <f>CONCATENATE(X932,"-",Y932)</f>
        <v>07-Servicio de formación en gestión del riesgo de incendios para el personal UAECOB</v>
      </c>
      <c r="AA932" s="171" t="s">
        <v>222</v>
      </c>
      <c r="AB932" s="172" t="str">
        <f>IFERROR(VLOOKUP(AA932,TD!$N$55:$O$70,2,0)," ")</f>
        <v>Servicio de educación informal</v>
      </c>
      <c r="AC932" s="168" t="str">
        <f>CONCATENATE(AA932,"_",AB932)</f>
        <v>002_Servicio de educación informal</v>
      </c>
      <c r="AD932" s="168" t="str">
        <f>CONCATENATE(Z932," ",AC932)</f>
        <v>07-Servicio de formación en gestión del riesgo de incendios para el personal UAECOB 002_Servicio de educación informal</v>
      </c>
      <c r="AE932" s="172" t="str">
        <f>CONCATENATE(U932,V932,W932,X932,AA932)</f>
        <v>O23011745032024025507002</v>
      </c>
      <c r="AF932" s="172" t="str">
        <f>IFERROR(VLOOKUP(AD932,TD!$J$70:$K$93,2,0)," ")</f>
        <v>PM/0131/0107/45030020255</v>
      </c>
      <c r="AG932" s="114" t="s">
        <v>385</v>
      </c>
      <c r="AH932" s="182" t="s">
        <v>194</v>
      </c>
      <c r="AI932" s="184" t="str">
        <f>CONCATENATE(PAA[[#This Row],[Id Interno]],"-",PAA[[#This Row],[tipo de Contrato (TH talento humano - B/S bienes y/o servicios)]],"-",S932,"-",T932,"-",PAA[[#This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33" spans="2:35" ht="98" x14ac:dyDescent="0.35">
      <c r="B933" s="155">
        <v>20260975</v>
      </c>
      <c r="C933" s="97" t="s">
        <v>1216</v>
      </c>
      <c r="D933" s="97" t="s">
        <v>105</v>
      </c>
      <c r="E933" s="97" t="s">
        <v>363</v>
      </c>
      <c r="F933" s="97" t="s">
        <v>145</v>
      </c>
      <c r="G933" s="124" t="s">
        <v>383</v>
      </c>
      <c r="H933" s="150">
        <v>1</v>
      </c>
      <c r="I933" s="150">
        <v>5</v>
      </c>
      <c r="J933" s="114">
        <v>4200000</v>
      </c>
      <c r="K933" s="121" t="s">
        <v>398</v>
      </c>
      <c r="L933" s="164" t="s">
        <v>154</v>
      </c>
      <c r="M933" s="171" t="s">
        <v>438</v>
      </c>
      <c r="N933" s="97" t="s">
        <v>198</v>
      </c>
      <c r="O933" s="171" t="s">
        <v>887</v>
      </c>
      <c r="P933" s="171" t="s">
        <v>348</v>
      </c>
      <c r="Q933" s="123">
        <v>80111600</v>
      </c>
      <c r="R933" s="171" t="s">
        <v>218</v>
      </c>
      <c r="S933" s="166" t="str">
        <f>MID(PAA[[#This Row],[Meta Proyecto de Inversión]],1,4)</f>
        <v>8173</v>
      </c>
      <c r="T933" s="166" t="str">
        <f>MID(PAA[[#This Row],[Meta Proyecto de Inversión]],6,2)</f>
        <v>9-</v>
      </c>
      <c r="U933" s="172" t="str">
        <f>IFERROR(VLOOKUP(N933,TD!$B$54:$F$58,2,0)," ")</f>
        <v>O230117</v>
      </c>
      <c r="V933" s="172" t="str">
        <f>IFERROR(VLOOKUP(N933,TD!$B$54:$F$58,3,0)," ")</f>
        <v>4503</v>
      </c>
      <c r="W933" s="172">
        <f>IFERROR(VLOOKUP(N933,TD!$B$54:$F$58,4,0)," ")</f>
        <v>20240255</v>
      </c>
      <c r="X933" s="171" t="s">
        <v>172</v>
      </c>
      <c r="Y933" s="172" t="str">
        <f>IFERROR(VLOOKUP(X933,TD!$J$55:$K$68,2,0)," ")</f>
        <v>Servicio de formación en gestión del riesgo de incendios para el personal UAECOB</v>
      </c>
      <c r="Z933" s="168" t="str">
        <f>CONCATENATE(X933,"-",Y933)</f>
        <v>07-Servicio de formación en gestión del riesgo de incendios para el personal UAECOB</v>
      </c>
      <c r="AA933" s="171" t="s">
        <v>222</v>
      </c>
      <c r="AB933" s="172" t="str">
        <f>IFERROR(VLOOKUP(AA933,TD!$N$55:$O$70,2,0)," ")</f>
        <v>Servicio de educación informal</v>
      </c>
      <c r="AC933" s="168" t="str">
        <f>CONCATENATE(AA933,"_",AB933)</f>
        <v>002_Servicio de educación informal</v>
      </c>
      <c r="AD933" s="168" t="str">
        <f>CONCATENATE(Z933," ",AC933)</f>
        <v>07-Servicio de formación en gestión del riesgo de incendios para el personal UAECOB 002_Servicio de educación informal</v>
      </c>
      <c r="AE933" s="172" t="str">
        <f>CONCATENATE(U933,V933,W933,X933,AA933)</f>
        <v>O23011745032024025507002</v>
      </c>
      <c r="AF933" s="172" t="str">
        <f>IFERROR(VLOOKUP(AD933,TD!$J$70:$K$93,2,0)," ")</f>
        <v>PM/0131/0107/45030020255</v>
      </c>
      <c r="AG933" s="114" t="s">
        <v>385</v>
      </c>
      <c r="AH933" s="182" t="s">
        <v>193</v>
      </c>
      <c r="AI933" s="184" t="str">
        <f>CONCATENATE(PAA[[#This Row],[Id Interno]],"-",PAA[[#This Row],[tipo de Contrato (TH talento humano - B/S bienes y/o servicios)]],"-",S933,"-",T933,"-",PAA[[#This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34" spans="2:35" ht="84" x14ac:dyDescent="0.35">
      <c r="B934" s="155">
        <v>20260976</v>
      </c>
      <c r="C934" s="97" t="s">
        <v>1217</v>
      </c>
      <c r="D934" s="97" t="s">
        <v>105</v>
      </c>
      <c r="E934" s="97" t="s">
        <v>363</v>
      </c>
      <c r="F934" s="97" t="s">
        <v>144</v>
      </c>
      <c r="G934" s="124" t="s">
        <v>383</v>
      </c>
      <c r="H934" s="150">
        <v>2</v>
      </c>
      <c r="I934" s="150">
        <v>0</v>
      </c>
      <c r="J934" s="114">
        <v>13000000</v>
      </c>
      <c r="K934" s="121" t="s">
        <v>398</v>
      </c>
      <c r="L934" s="164" t="s">
        <v>154</v>
      </c>
      <c r="M934" s="171" t="s">
        <v>438</v>
      </c>
      <c r="N934" s="97" t="s">
        <v>198</v>
      </c>
      <c r="O934" s="171" t="s">
        <v>887</v>
      </c>
      <c r="P934" s="171" t="s">
        <v>348</v>
      </c>
      <c r="Q934" s="123">
        <v>80111600</v>
      </c>
      <c r="R934" s="171" t="s">
        <v>218</v>
      </c>
      <c r="S934" s="166" t="str">
        <f>MID(PAA[[#This Row],[Meta Proyecto de Inversión]],1,4)</f>
        <v>8173</v>
      </c>
      <c r="T934" s="166" t="str">
        <f>MID(PAA[[#This Row],[Meta Proyecto de Inversión]],6,2)</f>
        <v>9-</v>
      </c>
      <c r="U934" s="172" t="str">
        <f>IFERROR(VLOOKUP(N934,TD!$B$54:$F$58,2,0)," ")</f>
        <v>O230117</v>
      </c>
      <c r="V934" s="172" t="str">
        <f>IFERROR(VLOOKUP(N934,TD!$B$54:$F$58,3,0)," ")</f>
        <v>4503</v>
      </c>
      <c r="W934" s="172">
        <f>IFERROR(VLOOKUP(N934,TD!$B$54:$F$58,4,0)," ")</f>
        <v>20240255</v>
      </c>
      <c r="X934" s="171" t="s">
        <v>172</v>
      </c>
      <c r="Y934" s="172" t="str">
        <f>IFERROR(VLOOKUP(X934,TD!$J$55:$K$68,2,0)," ")</f>
        <v>Servicio de formación en gestión del riesgo de incendios para el personal UAECOB</v>
      </c>
      <c r="Z934" s="168" t="str">
        <f>CONCATENATE(X934,"-",Y934)</f>
        <v>07-Servicio de formación en gestión del riesgo de incendios para el personal UAECOB</v>
      </c>
      <c r="AA934" s="171" t="s">
        <v>222</v>
      </c>
      <c r="AB934" s="172" t="str">
        <f>IFERROR(VLOOKUP(AA934,TD!$N$55:$O$70,2,0)," ")</f>
        <v>Servicio de educación informal</v>
      </c>
      <c r="AC934" s="168" t="str">
        <f>CONCATENATE(AA934,"_",AB934)</f>
        <v>002_Servicio de educación informal</v>
      </c>
      <c r="AD934" s="168" t="str">
        <f>CONCATENATE(Z934," ",AC934)</f>
        <v>07-Servicio de formación en gestión del riesgo de incendios para el personal UAECOB 002_Servicio de educación informal</v>
      </c>
      <c r="AE934" s="172" t="str">
        <f>CONCATENATE(U934,V934,W934,X934,AA934)</f>
        <v>O23011745032024025507002</v>
      </c>
      <c r="AF934" s="172" t="str">
        <f>IFERROR(VLOOKUP(AD934,TD!$J$70:$K$93,2,0)," ")</f>
        <v>PM/0131/0107/45030020255</v>
      </c>
      <c r="AG934" s="114" t="s">
        <v>385</v>
      </c>
      <c r="AH934" s="182" t="s">
        <v>193</v>
      </c>
      <c r="AI934" s="184" t="str">
        <f>CONCATENATE(PAA[[#This Row],[Id Interno]],"-",PAA[[#This Row],[tipo de Contrato (TH talento humano - B/S bienes y/o servicios)]],"-",S934,"-",T934,"-",PAA[[#This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35" spans="2:35" ht="112" x14ac:dyDescent="0.35">
      <c r="B935" s="143">
        <v>20260977</v>
      </c>
      <c r="C935" s="97" t="s">
        <v>1218</v>
      </c>
      <c r="D935" s="23" t="s">
        <v>105</v>
      </c>
      <c r="E935" s="23" t="s">
        <v>363</v>
      </c>
      <c r="F935" s="23" t="s">
        <v>144</v>
      </c>
      <c r="G935" s="124" t="s">
        <v>384</v>
      </c>
      <c r="H935" s="131">
        <v>1</v>
      </c>
      <c r="I935" s="131">
        <v>12</v>
      </c>
      <c r="J935" s="122">
        <v>10350000</v>
      </c>
      <c r="K935" s="88" t="s">
        <v>398</v>
      </c>
      <c r="L935" s="163" t="s">
        <v>154</v>
      </c>
      <c r="M935" s="166" t="s">
        <v>438</v>
      </c>
      <c r="N935" s="23" t="s">
        <v>198</v>
      </c>
      <c r="O935" s="166" t="s">
        <v>887</v>
      </c>
      <c r="P935" s="166" t="s">
        <v>348</v>
      </c>
      <c r="Q935" s="53">
        <v>80111600</v>
      </c>
      <c r="R935" s="166" t="s">
        <v>218</v>
      </c>
      <c r="S935" s="166" t="str">
        <f>MID(PAA[[#This Row],[Meta Proyecto de Inversión]],1,4)</f>
        <v>8173</v>
      </c>
      <c r="T935" s="166" t="str">
        <f>MID(PAA[[#This Row],[Meta Proyecto de Inversión]],6,2)</f>
        <v>9-</v>
      </c>
      <c r="U935" s="167" t="str">
        <f>IFERROR(VLOOKUP(N935,TD!$B$54:$F$58,2,0)," ")</f>
        <v>O230117</v>
      </c>
      <c r="V935" s="167" t="str">
        <f>IFERROR(VLOOKUP(N935,TD!$B$54:$F$58,3,0)," ")</f>
        <v>4503</v>
      </c>
      <c r="W935" s="167">
        <f>IFERROR(VLOOKUP(N935,TD!$B$54:$F$58,4,0)," ")</f>
        <v>20240255</v>
      </c>
      <c r="X935" s="166" t="s">
        <v>172</v>
      </c>
      <c r="Y935" s="172" t="str">
        <f>IFERROR(VLOOKUP(X935,TD!$J$55:$K$68,2,0)," ")</f>
        <v>Servicio de formación en gestión del riesgo de incendios para el personal UAECOB</v>
      </c>
      <c r="Z935" s="168" t="str">
        <f>CONCATENATE(X935,"-",Y935)</f>
        <v>07-Servicio de formación en gestión del riesgo de incendios para el personal UAECOB</v>
      </c>
      <c r="AA935" s="166" t="s">
        <v>222</v>
      </c>
      <c r="AB935" s="172" t="str">
        <f>IFERROR(VLOOKUP(AA935,TD!$N$55:$O$70,2,0)," ")</f>
        <v>Servicio de educación informal</v>
      </c>
      <c r="AC935" s="168" t="str">
        <f>CONCATENATE(AA935,"_",AB935)</f>
        <v>002_Servicio de educación informal</v>
      </c>
      <c r="AD935" s="168" t="str">
        <f>CONCATENATE(Z935," ",AC935)</f>
        <v>07-Servicio de formación en gestión del riesgo de incendios para el personal UAECOB 002_Servicio de educación informal</v>
      </c>
      <c r="AE935" s="167" t="str">
        <f>CONCATENATE(U935,V935,W935,X935,AA935)</f>
        <v>O23011745032024025507002</v>
      </c>
      <c r="AF935" s="172" t="str">
        <f>IFERROR(VLOOKUP(AD935,TD!$J$70:$K$93,2,0)," ")</f>
        <v>PM/0131/0107/45030020255</v>
      </c>
      <c r="AG935" s="114" t="s">
        <v>385</v>
      </c>
      <c r="AH935" s="175" t="s">
        <v>193</v>
      </c>
      <c r="AI935" s="184" t="str">
        <f>CONCATENATE(PAA[[#This Row],[Id Interno]],"-",PAA[[#This Row],[tipo de Contrato (TH talento humano - B/S bienes y/o servicios)]],"-",S935,"-",T935,"-",PAA[[#This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36" spans="2:35" ht="84" x14ac:dyDescent="0.35">
      <c r="B936" s="155">
        <v>20260978</v>
      </c>
      <c r="C936" s="97" t="s">
        <v>1219</v>
      </c>
      <c r="D936" s="97" t="s">
        <v>105</v>
      </c>
      <c r="E936" s="97" t="s">
        <v>363</v>
      </c>
      <c r="F936" s="97" t="s">
        <v>144</v>
      </c>
      <c r="G936" s="124" t="s">
        <v>384</v>
      </c>
      <c r="H936" s="150">
        <v>1</v>
      </c>
      <c r="I936" s="150">
        <v>6</v>
      </c>
      <c r="J936" s="114">
        <v>5880000</v>
      </c>
      <c r="K936" s="121" t="s">
        <v>398</v>
      </c>
      <c r="L936" s="164" t="s">
        <v>154</v>
      </c>
      <c r="M936" s="171" t="s">
        <v>438</v>
      </c>
      <c r="N936" s="97" t="s">
        <v>198</v>
      </c>
      <c r="O936" s="171" t="s">
        <v>887</v>
      </c>
      <c r="P936" s="171" t="s">
        <v>348</v>
      </c>
      <c r="Q936" s="123">
        <v>80111600</v>
      </c>
      <c r="R936" s="171" t="s">
        <v>218</v>
      </c>
      <c r="S936" s="166" t="str">
        <f>MID(PAA[[#This Row],[Meta Proyecto de Inversión]],1,4)</f>
        <v>8173</v>
      </c>
      <c r="T936" s="166" t="str">
        <f>MID(PAA[[#This Row],[Meta Proyecto de Inversión]],6,2)</f>
        <v>9-</v>
      </c>
      <c r="U936" s="172" t="str">
        <f>IFERROR(VLOOKUP(N936,TD!$B$54:$F$58,2,0)," ")</f>
        <v>O230117</v>
      </c>
      <c r="V936" s="172" t="str">
        <f>IFERROR(VLOOKUP(N936,TD!$B$54:$F$58,3,0)," ")</f>
        <v>4503</v>
      </c>
      <c r="W936" s="172">
        <f>IFERROR(VLOOKUP(N936,TD!$B$54:$F$58,4,0)," ")</f>
        <v>20240255</v>
      </c>
      <c r="X936" s="171" t="s">
        <v>172</v>
      </c>
      <c r="Y936" s="172" t="str">
        <f>IFERROR(VLOOKUP(X936,TD!$J$55:$K$68,2,0)," ")</f>
        <v>Servicio de formación en gestión del riesgo de incendios para el personal UAECOB</v>
      </c>
      <c r="Z936" s="168" t="str">
        <f>CONCATENATE(X936,"-",Y936)</f>
        <v>07-Servicio de formación en gestión del riesgo de incendios para el personal UAECOB</v>
      </c>
      <c r="AA936" s="171" t="s">
        <v>222</v>
      </c>
      <c r="AB936" s="172" t="str">
        <f>IFERROR(VLOOKUP(AA936,TD!$N$55:$O$70,2,0)," ")</f>
        <v>Servicio de educación informal</v>
      </c>
      <c r="AC936" s="168" t="str">
        <f>CONCATENATE(AA936,"_",AB936)</f>
        <v>002_Servicio de educación informal</v>
      </c>
      <c r="AD936" s="168" t="str">
        <f>CONCATENATE(Z936," ",AC936)</f>
        <v>07-Servicio de formación en gestión del riesgo de incendios para el personal UAECOB 002_Servicio de educación informal</v>
      </c>
      <c r="AE936" s="172" t="str">
        <f>CONCATENATE(U936,V936,W936,X936,AA936)</f>
        <v>O23011745032024025507002</v>
      </c>
      <c r="AF936" s="172" t="str">
        <f>IFERROR(VLOOKUP(AD936,TD!$J$70:$K$93,2,0)," ")</f>
        <v>PM/0131/0107/45030020255</v>
      </c>
      <c r="AG936" s="114" t="s">
        <v>385</v>
      </c>
      <c r="AH936" s="182" t="s">
        <v>193</v>
      </c>
      <c r="AI936" s="184" t="str">
        <f>CONCATENATE(PAA[[#This Row],[Id Interno]],"-",PAA[[#This Row],[tipo de Contrato (TH talento humano - B/S bienes y/o servicios)]],"-",S936,"-",T936,"-",PAA[[#This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37" spans="2:35" ht="98" x14ac:dyDescent="0.35">
      <c r="B937" s="143">
        <v>20260980</v>
      </c>
      <c r="C937" s="97" t="s">
        <v>1220</v>
      </c>
      <c r="D937" s="23" t="s">
        <v>105</v>
      </c>
      <c r="E937" s="23" t="s">
        <v>363</v>
      </c>
      <c r="F937" s="23" t="s">
        <v>144</v>
      </c>
      <c r="G937" s="124" t="s">
        <v>380</v>
      </c>
      <c r="H937" s="131">
        <v>5</v>
      </c>
      <c r="I937" s="131">
        <v>0</v>
      </c>
      <c r="J937" s="122">
        <v>45000000</v>
      </c>
      <c r="K937" s="88" t="s">
        <v>398</v>
      </c>
      <c r="L937" s="163" t="s">
        <v>154</v>
      </c>
      <c r="M937" s="166" t="s">
        <v>438</v>
      </c>
      <c r="N937" s="23" t="s">
        <v>198</v>
      </c>
      <c r="O937" s="166" t="s">
        <v>887</v>
      </c>
      <c r="P937" s="166" t="s">
        <v>348</v>
      </c>
      <c r="Q937" s="53">
        <v>80111600</v>
      </c>
      <c r="R937" s="166" t="s">
        <v>218</v>
      </c>
      <c r="S937" s="166" t="str">
        <f>MID(PAA[[#This Row],[Meta Proyecto de Inversión]],1,4)</f>
        <v>8173</v>
      </c>
      <c r="T937" s="166" t="str">
        <f>MID(PAA[[#This Row],[Meta Proyecto de Inversión]],6,2)</f>
        <v>9-</v>
      </c>
      <c r="U937" s="167" t="str">
        <f>IFERROR(VLOOKUP(N937,TD!$B$54:$F$58,2,0)," ")</f>
        <v>O230117</v>
      </c>
      <c r="V937" s="167" t="str">
        <f>IFERROR(VLOOKUP(N937,TD!$B$54:$F$58,3,0)," ")</f>
        <v>4503</v>
      </c>
      <c r="W937" s="167">
        <f>IFERROR(VLOOKUP(N937,TD!$B$54:$F$58,4,0)," ")</f>
        <v>20240255</v>
      </c>
      <c r="X937" s="166" t="s">
        <v>172</v>
      </c>
      <c r="Y937" s="172" t="str">
        <f>IFERROR(VLOOKUP(X937,TD!$J$55:$K$68,2,0)," ")</f>
        <v>Servicio de formación en gestión del riesgo de incendios para el personal UAECOB</v>
      </c>
      <c r="Z937" s="168" t="str">
        <f>CONCATENATE(X937,"-",Y937)</f>
        <v>07-Servicio de formación en gestión del riesgo de incendios para el personal UAECOB</v>
      </c>
      <c r="AA937" s="166" t="s">
        <v>222</v>
      </c>
      <c r="AB937" s="172" t="str">
        <f>IFERROR(VLOOKUP(AA937,TD!$N$55:$O$70,2,0)," ")</f>
        <v>Servicio de educación informal</v>
      </c>
      <c r="AC937" s="168" t="str">
        <f>CONCATENATE(AA937,"_",AB937)</f>
        <v>002_Servicio de educación informal</v>
      </c>
      <c r="AD937" s="168" t="str">
        <f>CONCATENATE(Z937," ",AC937)</f>
        <v>07-Servicio de formación en gestión del riesgo de incendios para el personal UAECOB 002_Servicio de educación informal</v>
      </c>
      <c r="AE937" s="167" t="str">
        <f>CONCATENATE(U937,V937,W937,X937,AA937)</f>
        <v>O23011745032024025507002</v>
      </c>
      <c r="AF937" s="172" t="str">
        <f>IFERROR(VLOOKUP(AD937,TD!$J$70:$K$93,2,0)," ")</f>
        <v>PM/0131/0107/45030020255</v>
      </c>
      <c r="AG937" s="114" t="s">
        <v>385</v>
      </c>
      <c r="AH937" s="175" t="s">
        <v>193</v>
      </c>
      <c r="AI937" s="184" t="str">
        <f>CONCATENATE(PAA[[#This Row],[Id Interno]],"-",PAA[[#This Row],[tipo de Contrato (TH talento humano - B/S bienes y/o servicios)]],"-",S937,"-",T937,"-",PAA[[#This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38" spans="2:35" ht="98" x14ac:dyDescent="0.35">
      <c r="B938" s="143">
        <v>20260981</v>
      </c>
      <c r="C938" s="97" t="s">
        <v>1169</v>
      </c>
      <c r="D938" s="23" t="s">
        <v>105</v>
      </c>
      <c r="E938" s="23" t="s">
        <v>363</v>
      </c>
      <c r="F938" s="23" t="s">
        <v>144</v>
      </c>
      <c r="G938" s="124" t="s">
        <v>380</v>
      </c>
      <c r="H938" s="131">
        <v>5</v>
      </c>
      <c r="I938" s="131">
        <v>15</v>
      </c>
      <c r="J938" s="122">
        <v>49746667</v>
      </c>
      <c r="K938" s="88" t="s">
        <v>398</v>
      </c>
      <c r="L938" s="163" t="s">
        <v>156</v>
      </c>
      <c r="M938" s="166" t="s">
        <v>484</v>
      </c>
      <c r="N938" s="23" t="s">
        <v>198</v>
      </c>
      <c r="O938" s="166" t="s">
        <v>887</v>
      </c>
      <c r="P938" s="166" t="s">
        <v>348</v>
      </c>
      <c r="Q938" s="53">
        <v>80111600</v>
      </c>
      <c r="R938" s="166" t="s">
        <v>214</v>
      </c>
      <c r="S938" s="166" t="str">
        <f>MID(PAA[[#This Row],[Meta Proyecto de Inversión]],1,4)</f>
        <v>8173</v>
      </c>
      <c r="T938" s="166" t="str">
        <f>MID(PAA[[#This Row],[Meta Proyecto de Inversión]],6,2)</f>
        <v>5-</v>
      </c>
      <c r="U938" s="167" t="str">
        <f>IFERROR(VLOOKUP(N938,TD!$B$54:$F$58,2,0)," ")</f>
        <v>O230117</v>
      </c>
      <c r="V938" s="167" t="str">
        <f>IFERROR(VLOOKUP(N938,TD!$B$54:$F$58,3,0)," ")</f>
        <v>4503</v>
      </c>
      <c r="W938" s="167">
        <f>IFERROR(VLOOKUP(N938,TD!$B$54:$F$58,4,0)," ")</f>
        <v>20240255</v>
      </c>
      <c r="X938" s="166">
        <v>16</v>
      </c>
      <c r="Y938" s="172" t="str">
        <f>IFERROR(VLOOKUP(X938,TD!$J$55:$K$68,2,0)," ")</f>
        <v>Servicio de monitoreo y seguimiento para la gestión del riesgo</v>
      </c>
      <c r="Z938" s="168" t="str">
        <f>CONCATENATE(X938,"-",Y938)</f>
        <v>16-Servicio de monitoreo y seguimiento para la gestión del riesgo</v>
      </c>
      <c r="AA938" s="166" t="s">
        <v>224</v>
      </c>
      <c r="AB938" s="172" t="str">
        <f>IFERROR(VLOOKUP(AA938,TD!$N$55:$O$70,2,0)," ")</f>
        <v>Servicio de monitoreo y seguimiento para la gestión del riesgo</v>
      </c>
      <c r="AC938" s="168" t="str">
        <f>CONCATENATE(AA938,"_",AB938)</f>
        <v>018_Servicio de monitoreo y seguimiento para la gestión del riesgo</v>
      </c>
      <c r="AD938" s="168" t="str">
        <f>CONCATENATE(Z938," ",AC938)</f>
        <v>16-Servicio de monitoreo y seguimiento para la gestión del riesgo 018_Servicio de monitoreo y seguimiento para la gestión del riesgo</v>
      </c>
      <c r="AE938" s="167" t="str">
        <f>CONCATENATE(U938,V938,W938,X938,AA938)</f>
        <v>O23011745032024025516018</v>
      </c>
      <c r="AF938" s="172" t="str">
        <f>IFERROR(VLOOKUP(AD938,TD!$J$70:$K$93,2,0)," ")</f>
        <v>PM/0131/0116/45030180255</v>
      </c>
      <c r="AG938" s="114" t="s">
        <v>385</v>
      </c>
      <c r="AH938" s="175" t="s">
        <v>194</v>
      </c>
      <c r="AI938" s="184" t="str">
        <f>CONCATENATE(PAA[[#This Row],[Id Interno]],"-",PAA[[#This Row],[tipo de Contrato (TH talento humano - B/S bienes y/o servicios)]],"-",S938,"-",T938,"-",PAA[[#This Row],[Objeto de la contratación]])</f>
        <v>20260981-TH-8173-5--  Prestar  servicios profesionales  en las actividades de proyeccion e innovacion para la Subdirección de Gestión del Riesgo._SGR</v>
      </c>
    </row>
    <row r="939" spans="2:35" ht="42" x14ac:dyDescent="0.35">
      <c r="B939" s="143">
        <v>20260982</v>
      </c>
      <c r="C939" s="97" t="s">
        <v>1224</v>
      </c>
      <c r="D939" s="23" t="s">
        <v>105</v>
      </c>
      <c r="E939" s="23" t="s">
        <v>363</v>
      </c>
      <c r="F939" s="23" t="s">
        <v>144</v>
      </c>
      <c r="G939" s="124" t="s">
        <v>380</v>
      </c>
      <c r="H939" s="131">
        <v>5</v>
      </c>
      <c r="I939" s="131">
        <v>0</v>
      </c>
      <c r="J939" s="122">
        <v>18000000</v>
      </c>
      <c r="K939" s="88" t="s">
        <v>398</v>
      </c>
      <c r="L939" s="163" t="s">
        <v>156</v>
      </c>
      <c r="M939" s="166" t="s">
        <v>484</v>
      </c>
      <c r="N939" s="23" t="s">
        <v>198</v>
      </c>
      <c r="O939" s="166" t="s">
        <v>887</v>
      </c>
      <c r="P939" s="166" t="s">
        <v>348</v>
      </c>
      <c r="Q939" s="53">
        <v>80111600</v>
      </c>
      <c r="R939" s="166" t="s">
        <v>210</v>
      </c>
      <c r="S939" s="166" t="str">
        <f>MID(PAA[[#This Row],[Meta Proyecto de Inversión]],1,4)</f>
        <v>8173</v>
      </c>
      <c r="T939" s="166" t="str">
        <f>MID(PAA[[#This Row],[Meta Proyecto de Inversión]],6,2)</f>
        <v>1-</v>
      </c>
      <c r="U939" s="167" t="str">
        <f>IFERROR(VLOOKUP(N939,TD!$B$54:$F$58,2,0)," ")</f>
        <v>O230117</v>
      </c>
      <c r="V939" s="167" t="str">
        <f>IFERROR(VLOOKUP(N939,TD!$B$54:$F$58,3,0)," ")</f>
        <v>4503</v>
      </c>
      <c r="W939" s="167">
        <f>IFERROR(VLOOKUP(N939,TD!$B$54:$F$58,4,0)," ")</f>
        <v>20240255</v>
      </c>
      <c r="X939" s="166" t="s">
        <v>166</v>
      </c>
      <c r="Y939" s="172" t="str">
        <f>IFERROR(VLOOKUP(X939,TD!$J$55:$K$68,2,0)," ")</f>
        <v>Servicio de capacitaciones en gestión del riesgo de incendios  a la ciudadania.</v>
      </c>
      <c r="Z939" s="168" t="str">
        <f>CONCATENATE(X939,"-",Y939)</f>
        <v>05-Servicio de capacitaciones en gestión del riesgo de incendios  a la ciudadania.</v>
      </c>
      <c r="AA939" s="166" t="s">
        <v>223</v>
      </c>
      <c r="AB939" s="172" t="str">
        <f>IFERROR(VLOOKUP(AA939,TD!$N$55:$O$70,2,0)," ")</f>
        <v>Servicio prevención y control de incendios</v>
      </c>
      <c r="AC939" s="168" t="str">
        <f>CONCATENATE(AA939,"_",AB939)</f>
        <v>035_Servicio prevención y control de incendios</v>
      </c>
      <c r="AD939" s="168" t="str">
        <f>CONCATENATE(Z939," ",AC939)</f>
        <v>05-Servicio de capacitaciones en gestión del riesgo de incendios  a la ciudadania. 035_Servicio prevención y control de incendios</v>
      </c>
      <c r="AE939" s="167" t="str">
        <f>CONCATENATE(U939,V939,W939,X939,AA939)</f>
        <v>O23011745032024025505035</v>
      </c>
      <c r="AF939" s="172" t="str">
        <f>IFERROR(VLOOKUP(AD939,TD!$J$70:$K$93,2,0)," ")</f>
        <v>PM/0131/0105/45030350255</v>
      </c>
      <c r="AG939" s="114" t="s">
        <v>385</v>
      </c>
      <c r="AH939" s="175" t="s">
        <v>193</v>
      </c>
      <c r="AI939" s="184" t="str">
        <f>CONCATENATE(PAA[[#This Row],[Id Interno]],"-",PAA[[#This Row],[tipo de Contrato (TH talento humano - B/S bienes y/o servicios)]],"-",S939,"-",T939,"-",PAA[[#This Row],[Objeto de la contratación]])</f>
        <v>20260982-TH-8173-1--Prestar servicios de apoyo a la gestión en la ejecución de labores administrativas, así como en la organización, custodia y gestión documental de los asuntos y procesos a cargo de La UAECOB</v>
      </c>
    </row>
    <row r="940" spans="2:35" ht="56" x14ac:dyDescent="0.35">
      <c r="B940" s="143">
        <v>20260983</v>
      </c>
      <c r="C940" s="97" t="s">
        <v>1224</v>
      </c>
      <c r="D940" s="23" t="s">
        <v>105</v>
      </c>
      <c r="E940" s="23" t="s">
        <v>363</v>
      </c>
      <c r="F940" s="23" t="s">
        <v>144</v>
      </c>
      <c r="G940" s="124" t="s">
        <v>380</v>
      </c>
      <c r="H940" s="131">
        <v>5</v>
      </c>
      <c r="I940" s="131">
        <v>0</v>
      </c>
      <c r="J940" s="122">
        <v>18000000</v>
      </c>
      <c r="K940" s="88" t="s">
        <v>398</v>
      </c>
      <c r="L940" s="163" t="s">
        <v>153</v>
      </c>
      <c r="M940" s="166" t="s">
        <v>420</v>
      </c>
      <c r="N940" s="23" t="s">
        <v>330</v>
      </c>
      <c r="O940" s="144" t="s">
        <v>886</v>
      </c>
      <c r="P940" s="171" t="s">
        <v>161</v>
      </c>
      <c r="Q940" s="53">
        <v>80111600</v>
      </c>
      <c r="R940" s="166" t="s">
        <v>331</v>
      </c>
      <c r="S940" s="166" t="str">
        <f>MID(PAA[[#This Row],[Meta Proyecto de Inversión]],1,4)</f>
        <v>No a</v>
      </c>
      <c r="T940" s="166" t="str">
        <f>MID(PAA[[#This Row],[Meta Proyecto de Inversión]],6,2)</f>
        <v>li</v>
      </c>
      <c r="U940" s="167" t="str">
        <f>IFERROR(VLOOKUP(N940,TD!$B$54:$F$58,2,0)," ")</f>
        <v>NA</v>
      </c>
      <c r="V940" s="167" t="str">
        <f>IFERROR(VLOOKUP(N940,TD!$B$54:$F$58,3,0)," ")</f>
        <v>NA</v>
      </c>
      <c r="W940" s="167" t="str">
        <f>IFERROR(VLOOKUP(N940,TD!$B$54:$F$58,4,0)," ")</f>
        <v>NA</v>
      </c>
      <c r="X940" s="166" t="s">
        <v>335</v>
      </c>
      <c r="Y940" s="172" t="str">
        <f>IFERROR(VLOOKUP(X940,TD!$J$55:$K$68,2,0)," ")</f>
        <v>N/A</v>
      </c>
      <c r="Z940" s="168" t="str">
        <f>CONCATENATE(X940,"-",Y940)</f>
        <v>N/A-N/A</v>
      </c>
      <c r="AA940" s="166" t="s">
        <v>335</v>
      </c>
      <c r="AB940" s="172" t="str">
        <f>IFERROR(VLOOKUP(AA940,TD!$N$55:$O$70,2,0)," ")</f>
        <v>N/A</v>
      </c>
      <c r="AC940" s="168" t="str">
        <f>CONCATENATE(AA940,"_",AB940)</f>
        <v>N/A_N/A</v>
      </c>
      <c r="AD940" s="168" t="str">
        <f>CONCATENATE(Z940," ",AC940)</f>
        <v>N/A-N/A N/A_N/A</v>
      </c>
      <c r="AE940" s="167" t="str">
        <f>CONCATENATE(U940,V940,W940,X940,AA940)</f>
        <v>NANANAN/AN/A</v>
      </c>
      <c r="AF940" s="172" t="str">
        <f>IFERROR(VLOOKUP(AD940,TD!$J$70:$K$93,2,0)," ")</f>
        <v>N/A</v>
      </c>
      <c r="AG940" s="114" t="s">
        <v>332</v>
      </c>
      <c r="AH940" s="175" t="s">
        <v>193</v>
      </c>
      <c r="AI940" s="184" t="str">
        <f>CONCATENATE(PAA[[#This Row],[Id Interno]],"-",PAA[[#This Row],[tipo de Contrato (TH talento humano - B/S bienes y/o servicios)]],"-",S940,"-",T940,"-",PAA[[#This Row],[Objeto de la contratación]])</f>
        <v>20260983-TH-No a-li-Prestar servicios de apoyo a la gestión en la ejecución de labores administrativas, así como en la organización, custodia y gestión documental de los asuntos y procesos a cargo de La UAECOB</v>
      </c>
    </row>
    <row r="941" spans="2:35" ht="56" x14ac:dyDescent="0.35">
      <c r="B941" s="137">
        <v>20260984</v>
      </c>
      <c r="C941" s="117" t="s">
        <v>1226</v>
      </c>
      <c r="D941" s="125" t="s">
        <v>105</v>
      </c>
      <c r="E941" s="125" t="s">
        <v>363</v>
      </c>
      <c r="F941" s="125" t="s">
        <v>144</v>
      </c>
      <c r="G941" s="126" t="s">
        <v>380</v>
      </c>
      <c r="H941" s="132">
        <v>4</v>
      </c>
      <c r="I941" s="132">
        <v>0</v>
      </c>
      <c r="J941" s="127">
        <v>30000000</v>
      </c>
      <c r="K941" s="88" t="s">
        <v>398</v>
      </c>
      <c r="L941" s="176" t="s">
        <v>151</v>
      </c>
      <c r="M941" s="174" t="s">
        <v>401</v>
      </c>
      <c r="N941" s="125" t="s">
        <v>197</v>
      </c>
      <c r="O941" s="174" t="s">
        <v>886</v>
      </c>
      <c r="P941" s="174" t="s">
        <v>348</v>
      </c>
      <c r="Q941" s="129">
        <v>80111600</v>
      </c>
      <c r="R941" s="174" t="s">
        <v>204</v>
      </c>
      <c r="S941" s="174" t="str">
        <f>MID(PAA[[#This Row],[Meta Proyecto de Inversión]],1,4)</f>
        <v>8126</v>
      </c>
      <c r="T941" s="174" t="str">
        <f>MID(PAA[[#This Row],[Meta Proyecto de Inversión]],6,2)</f>
        <v>5-</v>
      </c>
      <c r="U941" s="179" t="str">
        <f>IFERROR(VLOOKUP(N941,TD!$B$54:$F$58,2,0)," ")</f>
        <v>O230117</v>
      </c>
      <c r="V941" s="179" t="str">
        <f>IFERROR(VLOOKUP(N941,TD!$B$54:$F$58,3,0)," ")</f>
        <v>4599</v>
      </c>
      <c r="W941" s="179">
        <f>IFERROR(VLOOKUP(N941,TD!$B$54:$F$58,4,0)," ")</f>
        <v>20240207</v>
      </c>
      <c r="X941" s="174" t="s">
        <v>168</v>
      </c>
      <c r="Y941" s="172" t="str">
        <f>IFERROR(VLOOKUP(X941,TD!$J$55:$K$68,2,0)," ")</f>
        <v>Infraestructura Tecnológica   (Sistemas de Información y Tecnologia)</v>
      </c>
      <c r="Z941" s="180" t="str">
        <f>CONCATENATE(X941,"-",Y941)</f>
        <v>11-Infraestructura Tecnológica   (Sistemas de Información y Tecnologia)</v>
      </c>
      <c r="AA941" s="174" t="s">
        <v>228</v>
      </c>
      <c r="AB941" s="172" t="str">
        <f>IFERROR(VLOOKUP(AA941,TD!$N$55:$O$70,2,0)," ")</f>
        <v>Servicios tecnológicos</v>
      </c>
      <c r="AC941" s="180" t="str">
        <f>CONCATENATE(AA941,"_",AB941)</f>
        <v>007_Servicios tecnológicos</v>
      </c>
      <c r="AD941" s="180" t="str">
        <f>CONCATENATE(Z941," ",AC941)</f>
        <v>11-Infraestructura Tecnológica   (Sistemas de Información y Tecnologia) 007_Servicios tecnológicos</v>
      </c>
      <c r="AE941" s="179" t="str">
        <f>CONCATENATE(U941,V941,W941,X941,AA941)</f>
        <v>O23011745992024020711007</v>
      </c>
      <c r="AF941" s="172" t="str">
        <f>IFERROR(VLOOKUP(AD941,TD!$J$70:$K$93,2,0)," ")</f>
        <v>PM/0131/0111/45990070207</v>
      </c>
      <c r="AG941" s="114" t="s">
        <v>385</v>
      </c>
      <c r="AH941" s="175" t="s">
        <v>193</v>
      </c>
      <c r="AI941" s="184" t="str">
        <f>CONCATENATE(PAA[[#This Row],[Id Interno]],"-",PAA[[#This Row],[tipo de Contrato (TH talento humano - B/S bienes y/o servicios)]],"-",S941,"-",T941,"-",PAA[[#This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942" spans="2:35" ht="70" x14ac:dyDescent="0.35">
      <c r="B942" s="137">
        <v>20260985</v>
      </c>
      <c r="C942" s="117" t="s">
        <v>1227</v>
      </c>
      <c r="D942" s="125" t="s">
        <v>105</v>
      </c>
      <c r="E942" s="125" t="s">
        <v>363</v>
      </c>
      <c r="F942" s="125" t="s">
        <v>144</v>
      </c>
      <c r="G942" s="126" t="s">
        <v>381</v>
      </c>
      <c r="H942" s="132">
        <v>4</v>
      </c>
      <c r="I942" s="132">
        <v>0</v>
      </c>
      <c r="J942" s="127">
        <v>30000000</v>
      </c>
      <c r="K942" s="128" t="s">
        <v>398</v>
      </c>
      <c r="L942" s="176" t="s">
        <v>36</v>
      </c>
      <c r="M942" s="174" t="s">
        <v>468</v>
      </c>
      <c r="N942" s="125" t="s">
        <v>197</v>
      </c>
      <c r="O942" s="174" t="s">
        <v>886</v>
      </c>
      <c r="P942" s="174" t="s">
        <v>348</v>
      </c>
      <c r="Q942" s="129">
        <v>80111600</v>
      </c>
      <c r="R942" s="174" t="s">
        <v>201</v>
      </c>
      <c r="S942" s="174" t="str">
        <f>MID(PAA[[#This Row],[Meta Proyecto de Inversión]],1,4)</f>
        <v>8126</v>
      </c>
      <c r="T942" s="174" t="str">
        <f>MID(PAA[[#This Row],[Meta Proyecto de Inversión]],6,2)</f>
        <v>2-</v>
      </c>
      <c r="U942" s="179" t="str">
        <f>IFERROR(VLOOKUP(N942,TD!$B$54:$F$58,2,0)," ")</f>
        <v>O230117</v>
      </c>
      <c r="V942" s="179" t="str">
        <f>IFERROR(VLOOKUP(N942,TD!$B$54:$F$58,3,0)," ")</f>
        <v>4599</v>
      </c>
      <c r="W942" s="179">
        <f>IFERROR(VLOOKUP(N942,TD!$B$54:$F$58,4,0)," ")</f>
        <v>20240207</v>
      </c>
      <c r="X942" s="174" t="s">
        <v>182</v>
      </c>
      <c r="Y942" s="172" t="str">
        <f>IFERROR(VLOOKUP(X942,TD!$J$55:$K$68,2,0)," ")</f>
        <v>Servicios para la planeación y sistemas de gestión y comunicación estratégica</v>
      </c>
      <c r="Z942" s="180" t="str">
        <f>CONCATENATE(X942,"-",Y942)</f>
        <v>13-Servicios para la planeación y sistemas de gestión y comunicación estratégica</v>
      </c>
      <c r="AA942" s="174" t="s">
        <v>229</v>
      </c>
      <c r="AB942" s="172" t="str">
        <f>IFERROR(VLOOKUP(AA942,TD!$N$55:$O$70,2,0)," ")</f>
        <v>Servicio de asistencia técnica</v>
      </c>
      <c r="AC942" s="180" t="str">
        <f>CONCATENATE(AA942,"_",AB942)</f>
        <v>031_Servicio de asistencia técnica</v>
      </c>
      <c r="AD942" s="180" t="str">
        <f>CONCATENATE(Z942," ",AC942)</f>
        <v>13-Servicios para la planeación y sistemas de gestión y comunicación estratégica 031_Servicio de asistencia técnica</v>
      </c>
      <c r="AE942" s="179" t="str">
        <f>CONCATENATE(U942,V942,W942,X942,AA942)</f>
        <v>O23011745992024020713031</v>
      </c>
      <c r="AF942" s="172" t="str">
        <f>IFERROR(VLOOKUP(AD942,TD!$J$70:$K$93,2,0)," ")</f>
        <v>PM/0131/0113/45990310207</v>
      </c>
      <c r="AG942" s="130" t="s">
        <v>385</v>
      </c>
      <c r="AH942" s="181" t="s">
        <v>193</v>
      </c>
      <c r="AI942" s="184" t="str">
        <f>CONCATENATE(PAA[[#This Row],[Id Interno]],"-",PAA[[#This Row],[tipo de Contrato (TH talento humano - B/S bienes y/o servicios)]],"-",S942,"-",T942,"-",PAA[[#This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943" spans="2:35" ht="126" x14ac:dyDescent="0.35">
      <c r="B943" s="137">
        <v>20260986</v>
      </c>
      <c r="C943" s="117" t="s">
        <v>423</v>
      </c>
      <c r="D943" s="125" t="s">
        <v>105</v>
      </c>
      <c r="E943" s="125" t="s">
        <v>363</v>
      </c>
      <c r="F943" s="125" t="s">
        <v>144</v>
      </c>
      <c r="G943" s="126" t="s">
        <v>380</v>
      </c>
      <c r="H943" s="132">
        <v>3</v>
      </c>
      <c r="I943" s="132">
        <v>0</v>
      </c>
      <c r="J943" s="127">
        <v>21000000</v>
      </c>
      <c r="K943" s="128" t="s">
        <v>398</v>
      </c>
      <c r="L943" s="176" t="s">
        <v>46</v>
      </c>
      <c r="M943" s="174" t="s">
        <v>1228</v>
      </c>
      <c r="N943" s="125" t="s">
        <v>197</v>
      </c>
      <c r="O943" s="174" t="s">
        <v>886</v>
      </c>
      <c r="P943" s="174" t="s">
        <v>348</v>
      </c>
      <c r="Q943" s="129">
        <v>80111600</v>
      </c>
      <c r="R943" s="174" t="s">
        <v>208</v>
      </c>
      <c r="S943" s="174" t="str">
        <f>MID(PAA[[#This Row],[Meta Proyecto de Inversión]],1,4)</f>
        <v>8126</v>
      </c>
      <c r="T943" s="174" t="str">
        <f>MID(PAA[[#This Row],[Meta Proyecto de Inversión]],6,2)</f>
        <v>9-</v>
      </c>
      <c r="U943" s="179" t="str">
        <f>IFERROR(VLOOKUP(N943,TD!$B$54:$F$58,2,0)," ")</f>
        <v>O230117</v>
      </c>
      <c r="V943" s="179" t="str">
        <f>IFERROR(VLOOKUP(N943,TD!$B$54:$F$58,3,0)," ")</f>
        <v>4599</v>
      </c>
      <c r="W943" s="179">
        <f>IFERROR(VLOOKUP(N943,TD!$B$54:$F$58,4,0)," ")</f>
        <v>20240207</v>
      </c>
      <c r="X943" s="174" t="s">
        <v>174</v>
      </c>
      <c r="Y943" s="172" t="str">
        <f>IFERROR(VLOOKUP(X943,TD!$J$55:$K$68,2,0)," ")</f>
        <v>Infraestructura física, mantenimiento y dotación (Sedes construidas, mantenidas reforzadas)</v>
      </c>
      <c r="Z943" s="180" t="str">
        <f>CONCATENATE(X943,"-",Y943)</f>
        <v>08-Infraestructura física, mantenimiento y dotación (Sedes construidas, mantenidas reforzadas)</v>
      </c>
      <c r="AA943" s="174" t="s">
        <v>227</v>
      </c>
      <c r="AB943" s="172" t="str">
        <f>IFERROR(VLOOKUP(AA943,TD!$N$55:$O$70,2,0)," ")</f>
        <v>Sedes mantenidas</v>
      </c>
      <c r="AC943" s="180" t="str">
        <f>CONCATENATE(AA943,"_",AB943)</f>
        <v>016_Sedes mantenidas</v>
      </c>
      <c r="AD943" s="180" t="str">
        <f>CONCATENATE(Z943," ",AC943)</f>
        <v>08-Infraestructura física, mantenimiento y dotación (Sedes construidas, mantenidas reforzadas) 016_Sedes mantenidas</v>
      </c>
      <c r="AE943" s="179" t="str">
        <f>CONCATENATE(U943,V943,W943,X943,AA943)</f>
        <v>O23011745992024020708016</v>
      </c>
      <c r="AF943" s="172" t="str">
        <f>IFERROR(VLOOKUP(AD943,TD!$J$70:$K$93,2,0)," ")</f>
        <v>PM/0131/0108/45990160207</v>
      </c>
      <c r="AG943" s="130" t="s">
        <v>385</v>
      </c>
      <c r="AH943" s="181" t="s">
        <v>193</v>
      </c>
      <c r="AI943" s="184" t="str">
        <f>CONCATENATE(PAA[[#This Row],[Id Interno]],"-",PAA[[#This Row],[tipo de Contrato (TH talento humano - B/S bienes y/o servicios)]],"-",S943,"-",T943,"-",PAA[[#This Row],[Objeto de la contratación]])</f>
        <v>20260986-TH-8126-9--Prestar servicios profesionales jurídicos para apoyar la instrucción y demás actuaciones que deban surtirse en los procesos disciplinarios adelantados por la Oficina de Control Disciplinario Interno.</v>
      </c>
    </row>
    <row r="944" spans="2:35" ht="56" x14ac:dyDescent="0.35">
      <c r="B944" s="137">
        <v>20260988</v>
      </c>
      <c r="C944" s="117" t="s">
        <v>1232</v>
      </c>
      <c r="D944" s="125" t="s">
        <v>105</v>
      </c>
      <c r="E944" s="125" t="s">
        <v>363</v>
      </c>
      <c r="F944" s="125" t="s">
        <v>144</v>
      </c>
      <c r="G944" s="126" t="s">
        <v>380</v>
      </c>
      <c r="H944" s="132">
        <v>4</v>
      </c>
      <c r="I944" s="132">
        <v>0</v>
      </c>
      <c r="J944" s="127">
        <v>40000000</v>
      </c>
      <c r="K944" s="128" t="s">
        <v>398</v>
      </c>
      <c r="L944" s="176" t="s">
        <v>45</v>
      </c>
      <c r="M944" s="174" t="s">
        <v>401</v>
      </c>
      <c r="N944" s="125" t="s">
        <v>197</v>
      </c>
      <c r="O944" s="174" t="s">
        <v>886</v>
      </c>
      <c r="P944" s="174" t="s">
        <v>348</v>
      </c>
      <c r="Q944" s="129">
        <v>80111600</v>
      </c>
      <c r="R944" s="174" t="s">
        <v>208</v>
      </c>
      <c r="S944" s="174" t="str">
        <f>MID(PAA[[#This Row],[Meta Proyecto de Inversión]],1,4)</f>
        <v>8126</v>
      </c>
      <c r="T944" s="174" t="str">
        <f>MID(PAA[[#This Row],[Meta Proyecto de Inversión]],6,2)</f>
        <v>9-</v>
      </c>
      <c r="U944" s="179" t="str">
        <f>IFERROR(VLOOKUP(N944,TD!$B$54:$F$58,2,0)," ")</f>
        <v>O230117</v>
      </c>
      <c r="V944" s="179" t="str">
        <f>IFERROR(VLOOKUP(N944,TD!$B$54:$F$58,3,0)," ")</f>
        <v>4599</v>
      </c>
      <c r="W944" s="179">
        <f>IFERROR(VLOOKUP(N944,TD!$B$54:$F$58,4,0)," ")</f>
        <v>20240207</v>
      </c>
      <c r="X944" s="174" t="s">
        <v>174</v>
      </c>
      <c r="Y944" s="172" t="str">
        <f>IFERROR(VLOOKUP(X944,TD!$J$55:$K$68,2,0)," ")</f>
        <v>Infraestructura física, mantenimiento y dotación (Sedes construidas, mantenidas reforzadas)</v>
      </c>
      <c r="Z944" s="180" t="str">
        <f>CONCATENATE(X944,"-",Y944)</f>
        <v>08-Infraestructura física, mantenimiento y dotación (Sedes construidas, mantenidas reforzadas)</v>
      </c>
      <c r="AA944" s="174" t="s">
        <v>227</v>
      </c>
      <c r="AB944" s="172" t="str">
        <f>IFERROR(VLOOKUP(AA944,TD!$N$55:$O$70,2,0)," ")</f>
        <v>Sedes mantenidas</v>
      </c>
      <c r="AC944" s="180" t="str">
        <f>CONCATENATE(AA944,"_",AB944)</f>
        <v>016_Sedes mantenidas</v>
      </c>
      <c r="AD944" s="180" t="str">
        <f>CONCATENATE(Z944," ",AC944)</f>
        <v>08-Infraestructura física, mantenimiento y dotación (Sedes construidas, mantenidas reforzadas) 016_Sedes mantenidas</v>
      </c>
      <c r="AE944" s="179" t="str">
        <f>CONCATENATE(U944,V944,W944,X944,AA944)</f>
        <v>O23011745992024020708016</v>
      </c>
      <c r="AF944" s="172" t="str">
        <f>IFERROR(VLOOKUP(AD944,TD!$J$70:$K$93,2,0)," ")</f>
        <v>PM/0131/0108/45990160207</v>
      </c>
      <c r="AG944" s="130" t="s">
        <v>385</v>
      </c>
      <c r="AH944" s="181" t="s">
        <v>193</v>
      </c>
      <c r="AI944" s="184" t="str">
        <f>CONCATENATE(PAA[[#This Row],[Id Interno]],"-",PAA[[#This Row],[tipo de Contrato (TH talento humano - B/S bienes y/o servicios)]],"-",S944,"-",T944,"-",PAA[[#This Row],[Objeto de la contratación]])</f>
        <v>20260988-TH-8126-9--Prestar servicios profesionales jurídicos para apoyar a la Dirección General de la UAE Cuerpo Oficial de Bomberos de Bogotá en el desarrollo de sus actividades estratégicas y en los diferentes procesos a su cargo, brindando el acompañamiento, asesoría y apoyo jurídico requerido para el cumplimiento de sus funciones y objetivos institucionales.</v>
      </c>
    </row>
    <row r="945" spans="2:35" ht="84" x14ac:dyDescent="0.35">
      <c r="B945" s="137">
        <v>20260989</v>
      </c>
      <c r="C945" s="117" t="s">
        <v>1233</v>
      </c>
      <c r="D945" s="125" t="s">
        <v>119</v>
      </c>
      <c r="E945" s="125" t="s">
        <v>363</v>
      </c>
      <c r="F945" s="125" t="s">
        <v>128</v>
      </c>
      <c r="G945" s="126" t="s">
        <v>380</v>
      </c>
      <c r="H945" s="132">
        <v>2</v>
      </c>
      <c r="I945" s="132">
        <v>0</v>
      </c>
      <c r="J945" s="127">
        <v>15000000</v>
      </c>
      <c r="K945" s="128" t="s">
        <v>398</v>
      </c>
      <c r="L945" s="176" t="s">
        <v>150</v>
      </c>
      <c r="M945" s="174" t="s">
        <v>401</v>
      </c>
      <c r="N945" s="125" t="s">
        <v>197</v>
      </c>
      <c r="O945" s="174" t="s">
        <v>886</v>
      </c>
      <c r="P945" s="174" t="s">
        <v>348</v>
      </c>
      <c r="Q945" s="129">
        <v>80111600</v>
      </c>
      <c r="R945" s="174" t="s">
        <v>209</v>
      </c>
      <c r="S945" s="174" t="str">
        <f>MID(PAA[[#This Row],[Meta Proyecto de Inversión]],1,4)</f>
        <v>8126</v>
      </c>
      <c r="T945" s="174" t="str">
        <f>MID(PAA[[#This Row],[Meta Proyecto de Inversión]],6,2)</f>
        <v>10</v>
      </c>
      <c r="U945" s="179" t="str">
        <f>IFERROR(VLOOKUP(N945,TD!$B$54:$F$58,2,0)," ")</f>
        <v>O230117</v>
      </c>
      <c r="V945" s="179" t="str">
        <f>IFERROR(VLOOKUP(N945,TD!$B$54:$F$58,3,0)," ")</f>
        <v>4599</v>
      </c>
      <c r="W945" s="179">
        <f>IFERROR(VLOOKUP(N945,TD!$B$54:$F$58,4,0)," ")</f>
        <v>20240207</v>
      </c>
      <c r="X945" s="174" t="s">
        <v>182</v>
      </c>
      <c r="Y945" s="172" t="str">
        <f>IFERROR(VLOOKUP(X945,TD!$J$55:$K$68,2,0)," ")</f>
        <v>Servicios para la planeación y sistemas de gestión y comunicación estratégica</v>
      </c>
      <c r="Z945" s="180" t="str">
        <f>CONCATENATE(X945,"-",Y945)</f>
        <v>13-Servicios para la planeación y sistemas de gestión y comunicación estratégica</v>
      </c>
      <c r="AA945" s="174" t="s">
        <v>231</v>
      </c>
      <c r="AB945" s="172" t="str">
        <f>IFERROR(VLOOKUP(AA945,TD!$N$55:$O$70,2,0)," ")</f>
        <v>Documentos de planeación</v>
      </c>
      <c r="AC945" s="180" t="str">
        <f>CONCATENATE(AA945,"_",AB945)</f>
        <v>019_Documentos de planeación</v>
      </c>
      <c r="AD945" s="180" t="str">
        <f>CONCATENATE(Z945," ",AC945)</f>
        <v>13-Servicios para la planeación y sistemas de gestión y comunicación estratégica 019_Documentos de planeación</v>
      </c>
      <c r="AE945" s="179" t="str">
        <f>CONCATENATE(U945,V945,W945,X945,AA945)</f>
        <v>O23011745992024020713019</v>
      </c>
      <c r="AF945" s="172" t="str">
        <f>IFERROR(VLOOKUP(AD945,TD!$J$70:$K$93,2,0)," ")</f>
        <v>PM/0131/0113/45990190207</v>
      </c>
      <c r="AG945" s="130" t="s">
        <v>1230</v>
      </c>
      <c r="AH945" s="181" t="s">
        <v>193</v>
      </c>
      <c r="AI945" s="184" t="str">
        <f>CONCATENATE(PAA[[#This Row],[Id Interno]],"-",PAA[[#This Row],[tipo de Contrato (TH talento humano - B/S bienes y/o servicios)]],"-",S945,"-",T945,"-",PAA[[#This Row],[Objeto de la contratación]])</f>
        <v>20260989-TH-8126-10-Reconocimiento de gastos de alimentación y hospedaje por desplazamientos de contratistas de Direccción - Prensa</v>
      </c>
    </row>
    <row r="946" spans="2:35" ht="70" x14ac:dyDescent="0.35">
      <c r="B946" s="137">
        <v>20260990</v>
      </c>
      <c r="C946" s="117" t="s">
        <v>1234</v>
      </c>
      <c r="D946" s="125" t="s">
        <v>105</v>
      </c>
      <c r="E946" s="125" t="s">
        <v>363</v>
      </c>
      <c r="F946" s="125" t="s">
        <v>144</v>
      </c>
      <c r="G946" s="126" t="s">
        <v>380</v>
      </c>
      <c r="H946" s="132">
        <v>3</v>
      </c>
      <c r="I946" s="132">
        <v>0</v>
      </c>
      <c r="J946" s="127">
        <v>15450000</v>
      </c>
      <c r="K946" s="128" t="s">
        <v>398</v>
      </c>
      <c r="L946" s="176" t="s">
        <v>150</v>
      </c>
      <c r="M946" s="174" t="s">
        <v>401</v>
      </c>
      <c r="N946" s="125" t="s">
        <v>197</v>
      </c>
      <c r="O946" s="174" t="s">
        <v>886</v>
      </c>
      <c r="P946" s="174" t="s">
        <v>348</v>
      </c>
      <c r="Q946" s="129">
        <v>80111600</v>
      </c>
      <c r="R946" s="174" t="s">
        <v>209</v>
      </c>
      <c r="S946" s="174" t="str">
        <f>MID(PAA[[#This Row],[Meta Proyecto de Inversión]],1,4)</f>
        <v>8126</v>
      </c>
      <c r="T946" s="174" t="str">
        <f>MID(PAA[[#This Row],[Meta Proyecto de Inversión]],6,2)</f>
        <v>10</v>
      </c>
      <c r="U946" s="179" t="str">
        <f>IFERROR(VLOOKUP(N946,TD!$B$54:$F$58,2,0)," ")</f>
        <v>O230117</v>
      </c>
      <c r="V946" s="179" t="str">
        <f>IFERROR(VLOOKUP(N946,TD!$B$54:$F$58,3,0)," ")</f>
        <v>4599</v>
      </c>
      <c r="W946" s="179">
        <f>IFERROR(VLOOKUP(N946,TD!$B$54:$F$58,4,0)," ")</f>
        <v>20240207</v>
      </c>
      <c r="X946" s="174" t="s">
        <v>182</v>
      </c>
      <c r="Y946" s="172" t="str">
        <f>IFERROR(VLOOKUP(X946,TD!$J$55:$K$68,2,0)," ")</f>
        <v>Servicios para la planeación y sistemas de gestión y comunicación estratégica</v>
      </c>
      <c r="Z946" s="180" t="str">
        <f>CONCATENATE(X946,"-",Y946)</f>
        <v>13-Servicios para la planeación y sistemas de gestión y comunicación estratégica</v>
      </c>
      <c r="AA946" s="174" t="s">
        <v>231</v>
      </c>
      <c r="AB946" s="172" t="str">
        <f>IFERROR(VLOOKUP(AA946,TD!$N$55:$O$70,2,0)," ")</f>
        <v>Documentos de planeación</v>
      </c>
      <c r="AC946" s="180" t="str">
        <f>CONCATENATE(AA946,"_",AB946)</f>
        <v>019_Documentos de planeación</v>
      </c>
      <c r="AD946" s="180" t="str">
        <f>CONCATENATE(Z946," ",AC946)</f>
        <v>13-Servicios para la planeación y sistemas de gestión y comunicación estratégica 019_Documentos de planeación</v>
      </c>
      <c r="AE946" s="179" t="str">
        <f>CONCATENATE(U946,V946,W946,X946,AA946)</f>
        <v>O23011745992024020713019</v>
      </c>
      <c r="AF946" s="172" t="str">
        <f>IFERROR(VLOOKUP(AD946,TD!$J$70:$K$93,2,0)," ")</f>
        <v>PM/0131/0113/45990190207</v>
      </c>
      <c r="AG946" s="130" t="s">
        <v>385</v>
      </c>
      <c r="AH946" s="181" t="s">
        <v>193</v>
      </c>
      <c r="AI946" s="184" t="str">
        <f>CONCATENATE(PAA[[#This Row],[Id Interno]],"-",PAA[[#This Row],[tipo de Contrato (TH talento humano - B/S bienes y/o servicios)]],"-",S946,"-",T946,"-",PAA[[#This Row],[Objeto de la contratación]])</f>
        <v>20260990-TH-8126-10-Prestación de servicios profesionales en la Dirección para el acompañamiento en las labores de gestión administrativa, en asuntos propios de comunicaciones y prensa de la UAECOB</v>
      </c>
    </row>
    <row r="947" spans="2:35" ht="70" x14ac:dyDescent="0.35">
      <c r="B947" s="137">
        <v>20260991</v>
      </c>
      <c r="C947" s="117" t="s">
        <v>1229</v>
      </c>
      <c r="D947" s="125" t="s">
        <v>119</v>
      </c>
      <c r="E947" s="125" t="s">
        <v>363</v>
      </c>
      <c r="F947" s="125" t="s">
        <v>128</v>
      </c>
      <c r="G947" s="126" t="s">
        <v>380</v>
      </c>
      <c r="H947" s="132">
        <v>2</v>
      </c>
      <c r="I947" s="132">
        <v>0</v>
      </c>
      <c r="J947" s="127">
        <v>3620814</v>
      </c>
      <c r="K947" s="128" t="s">
        <v>398</v>
      </c>
      <c r="L947" s="176" t="s">
        <v>156</v>
      </c>
      <c r="M947" s="174" t="s">
        <v>484</v>
      </c>
      <c r="N947" s="125" t="s">
        <v>198</v>
      </c>
      <c r="O947" s="174" t="s">
        <v>887</v>
      </c>
      <c r="P947" s="174" t="s">
        <v>348</v>
      </c>
      <c r="Q947" s="129">
        <v>80111600</v>
      </c>
      <c r="R947" s="174" t="s">
        <v>215</v>
      </c>
      <c r="S947" s="174" t="str">
        <f>MID(PAA[[#This Row],[Meta Proyecto de Inversión]],1,4)</f>
        <v>8173</v>
      </c>
      <c r="T947" s="174" t="str">
        <f>MID(PAA[[#This Row],[Meta Proyecto de Inversión]],6,2)</f>
        <v>6-</v>
      </c>
      <c r="U947" s="179" t="str">
        <f>IFERROR(VLOOKUP(N947,TD!$B$54:$F$58,2,0)," ")</f>
        <v>O230117</v>
      </c>
      <c r="V947" s="179" t="str">
        <f>IFERROR(VLOOKUP(N947,TD!$B$54:$F$58,3,0)," ")</f>
        <v>4503</v>
      </c>
      <c r="W947" s="179">
        <f>IFERROR(VLOOKUP(N947,TD!$B$54:$F$58,4,0)," ")</f>
        <v>20240255</v>
      </c>
      <c r="X947" s="174">
        <v>16</v>
      </c>
      <c r="Y947" s="172" t="str">
        <f>IFERROR(VLOOKUP(X947,TD!$J$55:$K$68,2,0)," ")</f>
        <v>Servicio de monitoreo y seguimiento para la gestión del riesgo</v>
      </c>
      <c r="Z947" s="180" t="str">
        <f>CONCATENATE(X947,"-",Y947)</f>
        <v>16-Servicio de monitoreo y seguimiento para la gestión del riesgo</v>
      </c>
      <c r="AA947" s="174" t="s">
        <v>224</v>
      </c>
      <c r="AB947" s="172" t="str">
        <f>IFERROR(VLOOKUP(AA947,TD!$N$55:$O$70,2,0)," ")</f>
        <v>Servicio de monitoreo y seguimiento para la gestión del riesgo</v>
      </c>
      <c r="AC947" s="180" t="str">
        <f>CONCATENATE(AA947,"_",AB947)</f>
        <v>018_Servicio de monitoreo y seguimiento para la gestión del riesgo</v>
      </c>
      <c r="AD947" s="180" t="str">
        <f>CONCATENATE(Z947," ",AC947)</f>
        <v>16-Servicio de monitoreo y seguimiento para la gestión del riesgo 018_Servicio de monitoreo y seguimiento para la gestión del riesgo</v>
      </c>
      <c r="AE947" s="179" t="str">
        <f>CONCATENATE(U947,V947,W947,X947,AA947)</f>
        <v>O23011745032024025516018</v>
      </c>
      <c r="AF947" s="172" t="str">
        <f>IFERROR(VLOOKUP(AD947,TD!$J$70:$K$93,2,0)," ")</f>
        <v>PM/0131/0116/45030180255</v>
      </c>
      <c r="AG947" s="130" t="s">
        <v>1230</v>
      </c>
      <c r="AH947" s="181" t="s">
        <v>193</v>
      </c>
      <c r="AI947" s="184" t="str">
        <f>CONCATENATE(PAA[[#This Row],[Id Interno]],"-",PAA[[#This Row],[tipo de Contrato (TH talento humano - B/S bienes y/o servicios)]],"-",S947,"-",T947,"-",PAA[[#This Row],[Objeto de la contratación]])</f>
        <v>20260991-TH-8173-6--Reconocimientos de gastos de alimentación y hospedaje por desplazamientos de contratistas</v>
      </c>
    </row>
    <row r="948" spans="2:35" ht="56" x14ac:dyDescent="0.35">
      <c r="B948" s="137">
        <v>20260992</v>
      </c>
      <c r="C948" s="117" t="s">
        <v>1235</v>
      </c>
      <c r="D948" s="125" t="s">
        <v>105</v>
      </c>
      <c r="E948" s="125" t="s">
        <v>363</v>
      </c>
      <c r="F948" s="125" t="s">
        <v>145</v>
      </c>
      <c r="G948" s="126" t="s">
        <v>380</v>
      </c>
      <c r="H948" s="132">
        <v>3</v>
      </c>
      <c r="I948" s="132">
        <v>0</v>
      </c>
      <c r="J948" s="127">
        <v>14000000</v>
      </c>
      <c r="K948" s="128" t="s">
        <v>398</v>
      </c>
      <c r="L948" s="176" t="s">
        <v>157</v>
      </c>
      <c r="M948" s="174" t="s">
        <v>483</v>
      </c>
      <c r="N948" s="125" t="s">
        <v>198</v>
      </c>
      <c r="O948" s="174" t="s">
        <v>887</v>
      </c>
      <c r="P948" s="174" t="s">
        <v>348</v>
      </c>
      <c r="Q948" s="129">
        <v>80111600</v>
      </c>
      <c r="R948" s="174" t="s">
        <v>213</v>
      </c>
      <c r="S948" s="174" t="str">
        <f>MID(PAA[[#This Row],[Meta Proyecto de Inversión]],1,4)</f>
        <v>8173</v>
      </c>
      <c r="T948" s="174" t="str">
        <f>MID(PAA[[#This Row],[Meta Proyecto de Inversión]],6,2)</f>
        <v>4-</v>
      </c>
      <c r="U948" s="179" t="str">
        <f>IFERROR(VLOOKUP(N948,TD!$B$54:$F$58,2,0)," ")</f>
        <v>O230117</v>
      </c>
      <c r="V948" s="179" t="str">
        <f>IFERROR(VLOOKUP(N948,TD!$B$54:$F$58,3,0)," ")</f>
        <v>4503</v>
      </c>
      <c r="W948" s="179">
        <f>IFERROR(VLOOKUP(N948,TD!$B$54:$F$58,4,0)," ")</f>
        <v>20240255</v>
      </c>
      <c r="X948" s="174" t="s">
        <v>180</v>
      </c>
      <c r="Y948" s="172" t="str">
        <f>IFERROR(VLOOKUP(X948,TD!$J$55:$K$68,2,0)," ")</f>
        <v>Servicio de apoyo   logístico  en eventos operativos y/o emergencias.</v>
      </c>
      <c r="Z948" s="180" t="str">
        <f>CONCATENATE(X948,"-",Y948)</f>
        <v>12-Servicio de apoyo   logístico  en eventos operativos y/o emergencias.</v>
      </c>
      <c r="AA948" s="174" t="s">
        <v>221</v>
      </c>
      <c r="AB948" s="172" t="str">
        <f>IFERROR(VLOOKUP(AA948,TD!$N$55:$O$70,2,0)," ")</f>
        <v>Servicio de atención a emergencias y desastres</v>
      </c>
      <c r="AC948" s="180" t="str">
        <f>CONCATENATE(AA948,"_",AB948)</f>
        <v>004_Servicio de atención a emergencias y desastres</v>
      </c>
      <c r="AD948" s="180" t="str">
        <f>CONCATENATE(Z948," ",AC948)</f>
        <v>12-Servicio de apoyo   logístico  en eventos operativos y/o emergencias. 004_Servicio de atención a emergencias y desastres</v>
      </c>
      <c r="AE948" s="179" t="str">
        <f>CONCATENATE(U948,V948,W948,X948,AA948)</f>
        <v>O23011745032024025512004</v>
      </c>
      <c r="AF948" s="172" t="str">
        <f>IFERROR(VLOOKUP(AD948,TD!$J$70:$K$93,2,0)," ")</f>
        <v>PM/0131/0112/45030040255</v>
      </c>
      <c r="AG948" s="130" t="s">
        <v>385</v>
      </c>
      <c r="AH948" s="181" t="s">
        <v>194</v>
      </c>
      <c r="AI948" s="184" t="str">
        <f>CONCATENATE(PAA[[#This Row],[Id Interno]],"-",PAA[[#This Row],[tipo de Contrato (TH talento humano - B/S bienes y/o servicios)]],"-",S948,"-",T948,"-",PAA[[#This Row],[Objeto de la contratación]])</f>
        <v>20260992-TH-8173-4--Adición y prorroga al contrato 071-2026 cuyo objeto es: "Prestar servicios de apoyo técnico en asuntos administrativos, financieros, documentales y emisión de informes para el desarrollo de las estrategías de la Subdireccion Logística-SBLG"</v>
      </c>
    </row>
    <row r="949" spans="2:35" ht="56" x14ac:dyDescent="0.35">
      <c r="B949" s="137">
        <v>20260993</v>
      </c>
      <c r="C949" s="117" t="s">
        <v>504</v>
      </c>
      <c r="D949" s="125" t="s">
        <v>105</v>
      </c>
      <c r="E949" s="125" t="s">
        <v>363</v>
      </c>
      <c r="F949" s="125" t="s">
        <v>144</v>
      </c>
      <c r="G949" s="126" t="s">
        <v>381</v>
      </c>
      <c r="H949" s="132">
        <v>3</v>
      </c>
      <c r="I949" s="132">
        <v>0</v>
      </c>
      <c r="J949" s="127">
        <v>21000000</v>
      </c>
      <c r="K949" s="128" t="s">
        <v>398</v>
      </c>
      <c r="L949" s="176" t="s">
        <v>157</v>
      </c>
      <c r="M949" s="174" t="s">
        <v>483</v>
      </c>
      <c r="N949" s="125" t="s">
        <v>198</v>
      </c>
      <c r="O949" s="174" t="s">
        <v>887</v>
      </c>
      <c r="P949" s="174" t="s">
        <v>348</v>
      </c>
      <c r="Q949" s="129">
        <v>80111600</v>
      </c>
      <c r="R949" s="174" t="s">
        <v>213</v>
      </c>
      <c r="S949" s="174" t="str">
        <f>MID(PAA[[#This Row],[Meta Proyecto de Inversión]],1,4)</f>
        <v>8173</v>
      </c>
      <c r="T949" s="174" t="str">
        <f>MID(PAA[[#This Row],[Meta Proyecto de Inversión]],6,2)</f>
        <v>4-</v>
      </c>
      <c r="U949" s="179" t="str">
        <f>IFERROR(VLOOKUP(N949,TD!$B$54:$F$58,2,0)," ")</f>
        <v>O230117</v>
      </c>
      <c r="V949" s="179" t="str">
        <f>IFERROR(VLOOKUP(N949,TD!$B$54:$F$58,3,0)," ")</f>
        <v>4503</v>
      </c>
      <c r="W949" s="179">
        <f>IFERROR(VLOOKUP(N949,TD!$B$54:$F$58,4,0)," ")</f>
        <v>20240255</v>
      </c>
      <c r="X949" s="174" t="s">
        <v>176</v>
      </c>
      <c r="Y949" s="172" t="str">
        <f>IFERROR(VLOOKUP(X949,TD!$J$55:$K$68,2,0)," ")</f>
        <v>Servicio de mantenimiento, dotación (HEA´s y equipo menor) y adquisición de vehiculos   especializados para la atención de emergencias.</v>
      </c>
      <c r="Z949" s="180" t="str">
        <f>CONCATENATE(X949,"-",Y949)</f>
        <v>09-Servicio de mantenimiento, dotación (HEA´s y equipo menor) y adquisición de vehiculos   especializados para la atención de emergencias.</v>
      </c>
      <c r="AA949" s="174" t="s">
        <v>221</v>
      </c>
      <c r="AB949" s="172" t="str">
        <f>IFERROR(VLOOKUP(AA949,TD!$N$55:$O$70,2,0)," ")</f>
        <v>Servicio de atención a emergencias y desastres</v>
      </c>
      <c r="AC949" s="180" t="str">
        <f>CONCATENATE(AA949,"_",AB949)</f>
        <v>004_Servicio de atención a emergencias y desastres</v>
      </c>
      <c r="AD949" s="180" t="str">
        <f>CONCATENATE(Z949," ",AC949)</f>
        <v>09-Servicio de mantenimiento, dotación (HEA´s y equipo menor) y adquisición de vehiculos   especializados para la atención de emergencias. 004_Servicio de atención a emergencias y desastres</v>
      </c>
      <c r="AE949" s="179" t="str">
        <f>CONCATENATE(U949,V949,W949,X949,AA949)</f>
        <v>O23011745032024025509004</v>
      </c>
      <c r="AF949" s="172" t="str">
        <f>IFERROR(VLOOKUP(AD949,TD!$J$70:$K$93,2,0)," ")</f>
        <v>PM/0131/0109/45030040255</v>
      </c>
      <c r="AG949" s="130" t="s">
        <v>385</v>
      </c>
      <c r="AH949" s="181" t="s">
        <v>193</v>
      </c>
      <c r="AI949" s="184" t="str">
        <f>CONCATENATE(PAA[[#This Row],[Id Interno]],"-",PAA[[#This Row],[tipo de Contrato (TH talento humano - B/S bienes y/o servicios)]],"-",S949,"-",T949,"-",PAA[[#This Row],[Objeto de la contratación]])</f>
        <v>20260993-TH-8173-4--Prestación de servicios profesionales para realizar el seguimiento y monitoreo a los diferentes procesos y procedimientos del equipo menor a cargo de la Subdirección Logística - SBLG</v>
      </c>
    </row>
    <row r="950" spans="2:35" ht="56" x14ac:dyDescent="0.35">
      <c r="B950" s="137">
        <v>20260995</v>
      </c>
      <c r="C950" s="117" t="s">
        <v>1239</v>
      </c>
      <c r="D950" s="125" t="s">
        <v>105</v>
      </c>
      <c r="E950" s="125" t="s">
        <v>363</v>
      </c>
      <c r="F950" s="125" t="s">
        <v>144</v>
      </c>
      <c r="G950" s="126" t="s">
        <v>381</v>
      </c>
      <c r="H950" s="132">
        <v>3</v>
      </c>
      <c r="I950" s="132">
        <v>0</v>
      </c>
      <c r="J950" s="127">
        <v>24750000</v>
      </c>
      <c r="K950" s="128" t="s">
        <v>398</v>
      </c>
      <c r="L950" s="176" t="s">
        <v>45</v>
      </c>
      <c r="M950" s="174" t="s">
        <v>401</v>
      </c>
      <c r="N950" s="125" t="s">
        <v>197</v>
      </c>
      <c r="O950" s="174" t="s">
        <v>886</v>
      </c>
      <c r="P950" s="174" t="s">
        <v>348</v>
      </c>
      <c r="Q950" s="129">
        <v>80111600</v>
      </c>
      <c r="R950" s="174" t="s">
        <v>208</v>
      </c>
      <c r="S950" s="174" t="str">
        <f>MID(PAA[[#This Row],[Meta Proyecto de Inversión]],1,4)</f>
        <v>8126</v>
      </c>
      <c r="T950" s="174" t="str">
        <f>MID(PAA[[#This Row],[Meta Proyecto de Inversión]],6,2)</f>
        <v>9-</v>
      </c>
      <c r="U950" s="179" t="str">
        <f>IFERROR(VLOOKUP(N950,TD!$B$54:$F$58,2,0)," ")</f>
        <v>O230117</v>
      </c>
      <c r="V950" s="179" t="str">
        <f>IFERROR(VLOOKUP(N950,TD!$B$54:$F$58,3,0)," ")</f>
        <v>4599</v>
      </c>
      <c r="W950" s="179">
        <f>IFERROR(VLOOKUP(N950,TD!$B$54:$F$58,4,0)," ")</f>
        <v>20240207</v>
      </c>
      <c r="X950" s="174" t="s">
        <v>174</v>
      </c>
      <c r="Y950" s="172" t="str">
        <f>IFERROR(VLOOKUP(X950,TD!$J$55:$K$68,2,0)," ")</f>
        <v>Infraestructura física, mantenimiento y dotación (Sedes construidas, mantenidas reforzadas)</v>
      </c>
      <c r="Z950" s="180" t="str">
        <f>CONCATENATE(X950,"-",Y950)</f>
        <v>08-Infraestructura física, mantenimiento y dotación (Sedes construidas, mantenidas reforzadas)</v>
      </c>
      <c r="AA950" s="174" t="s">
        <v>227</v>
      </c>
      <c r="AB950" s="172" t="str">
        <f>IFERROR(VLOOKUP(AA950,TD!$N$55:$O$70,2,0)," ")</f>
        <v>Sedes mantenidas</v>
      </c>
      <c r="AC950" s="180" t="str">
        <f>CONCATENATE(AA950,"_",AB950)</f>
        <v>016_Sedes mantenidas</v>
      </c>
      <c r="AD950" s="180" t="str">
        <f>CONCATENATE(Z950," ",AC950)</f>
        <v>08-Infraestructura física, mantenimiento y dotación (Sedes construidas, mantenidas reforzadas) 016_Sedes mantenidas</v>
      </c>
      <c r="AE950" s="179" t="str">
        <f>CONCATENATE(U950,V950,W950,X950,AA950)</f>
        <v>O23011745992024020708016</v>
      </c>
      <c r="AF950" s="172" t="str">
        <f>IFERROR(VLOOKUP(AD950,TD!$J$70:$K$93,2,0)," ")</f>
        <v>PM/0131/0108/45990160207</v>
      </c>
      <c r="AG950" s="130" t="s">
        <v>385</v>
      </c>
      <c r="AH950" s="181" t="s">
        <v>194</v>
      </c>
      <c r="AI950" s="184" t="str">
        <f>CONCATENATE(PAA[[#This Row],[Id Interno]],"-",PAA[[#This Row],[tipo de Contrato (TH talento humano - B/S bienes y/o servicios)]],"-",S950,"-",T950,"-",PAA[[#This Row],[Objeto de la contratación]])</f>
        <v>20260995-TH-8126-9--Adición y prórroga al Contrato 116 de 2026 con objeto: "Prestar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951" spans="2:35" ht="84" x14ac:dyDescent="0.35">
      <c r="B951" s="137">
        <v>20260996</v>
      </c>
      <c r="C951" s="117" t="s">
        <v>1240</v>
      </c>
      <c r="D951" s="125" t="s">
        <v>105</v>
      </c>
      <c r="E951" s="125" t="s">
        <v>363</v>
      </c>
      <c r="F951" s="125" t="s">
        <v>144</v>
      </c>
      <c r="G951" s="126" t="s">
        <v>381</v>
      </c>
      <c r="H951" s="132">
        <v>3</v>
      </c>
      <c r="I951" s="132">
        <v>0</v>
      </c>
      <c r="J951" s="127">
        <v>24750000</v>
      </c>
      <c r="K951" s="128" t="s">
        <v>398</v>
      </c>
      <c r="L951" s="176" t="s">
        <v>45</v>
      </c>
      <c r="M951" s="174" t="s">
        <v>401</v>
      </c>
      <c r="N951" s="125" t="s">
        <v>197</v>
      </c>
      <c r="O951" s="174" t="s">
        <v>886</v>
      </c>
      <c r="P951" s="174" t="s">
        <v>348</v>
      </c>
      <c r="Q951" s="129">
        <v>80111600</v>
      </c>
      <c r="R951" s="174" t="s">
        <v>208</v>
      </c>
      <c r="S951" s="174" t="str">
        <f>MID(PAA[[#This Row],[Meta Proyecto de Inversión]],1,4)</f>
        <v>8126</v>
      </c>
      <c r="T951" s="174" t="str">
        <f>MID(PAA[[#This Row],[Meta Proyecto de Inversión]],6,2)</f>
        <v>9-</v>
      </c>
      <c r="U951" s="179" t="str">
        <f>IFERROR(VLOOKUP(N951,TD!$B$54:$F$58,2,0)," ")</f>
        <v>O230117</v>
      </c>
      <c r="V951" s="179" t="str">
        <f>IFERROR(VLOOKUP(N951,TD!$B$54:$F$58,3,0)," ")</f>
        <v>4599</v>
      </c>
      <c r="W951" s="179">
        <f>IFERROR(VLOOKUP(N951,TD!$B$54:$F$58,4,0)," ")</f>
        <v>20240207</v>
      </c>
      <c r="X951" s="174" t="s">
        <v>174</v>
      </c>
      <c r="Y951" s="172" t="str">
        <f>IFERROR(VLOOKUP(X951,TD!$J$55:$K$68,2,0)," ")</f>
        <v>Infraestructura física, mantenimiento y dotación (Sedes construidas, mantenidas reforzadas)</v>
      </c>
      <c r="Z951" s="180" t="str">
        <f>CONCATENATE(X951,"-",Y951)</f>
        <v>08-Infraestructura física, mantenimiento y dotación (Sedes construidas, mantenidas reforzadas)</v>
      </c>
      <c r="AA951" s="174" t="s">
        <v>227</v>
      </c>
      <c r="AB951" s="172" t="str">
        <f>IFERROR(VLOOKUP(AA951,TD!$N$55:$O$70,2,0)," ")</f>
        <v>Sedes mantenidas</v>
      </c>
      <c r="AC951" s="180" t="str">
        <f>CONCATENATE(AA951,"_",AB951)</f>
        <v>016_Sedes mantenidas</v>
      </c>
      <c r="AD951" s="180" t="str">
        <f>CONCATENATE(Z951," ",AC951)</f>
        <v>08-Infraestructura física, mantenimiento y dotación (Sedes construidas, mantenidas reforzadas) 016_Sedes mantenidas</v>
      </c>
      <c r="AE951" s="179" t="str">
        <f>CONCATENATE(U951,V951,W951,X951,AA951)</f>
        <v>O23011745992024020708016</v>
      </c>
      <c r="AF951" s="172" t="str">
        <f>IFERROR(VLOOKUP(AD951,TD!$J$70:$K$93,2,0)," ")</f>
        <v>PM/0131/0108/45990160207</v>
      </c>
      <c r="AG951" s="130" t="s">
        <v>385</v>
      </c>
      <c r="AH951" s="181" t="s">
        <v>194</v>
      </c>
      <c r="AI951" s="184" t="str">
        <f>CONCATENATE(PAA[[#This Row],[Id Interno]],"-",PAA[[#This Row],[tipo de Contrato (TH talento humano - B/S bienes y/o servicios)]],"-",S951,"-",T951,"-",PAA[[#This Row],[Objeto de la contratación]])</f>
        <v>20260996-TH-8126-9--Adición y prórroga al Contrato 181 de 2026 "Prestación de servicios profesionales para gestionar las actividades de articulación interinstitucional, protocolo y demás que le sean indicados en la Dirección General en concordancia al marco de sus funciones"</v>
      </c>
    </row>
    <row r="952" spans="2:35" ht="70" x14ac:dyDescent="0.35">
      <c r="B952" s="137">
        <v>20260997</v>
      </c>
      <c r="C952" s="117" t="s">
        <v>646</v>
      </c>
      <c r="D952" s="125" t="s">
        <v>105</v>
      </c>
      <c r="E952" s="125" t="s">
        <v>363</v>
      </c>
      <c r="F952" s="125" t="s">
        <v>145</v>
      </c>
      <c r="G952" s="126" t="s">
        <v>381</v>
      </c>
      <c r="H952" s="132">
        <v>4</v>
      </c>
      <c r="I952" s="132">
        <v>0</v>
      </c>
      <c r="J952" s="127">
        <v>11260556</v>
      </c>
      <c r="K952" s="128" t="s">
        <v>398</v>
      </c>
      <c r="L952" s="176" t="s">
        <v>155</v>
      </c>
      <c r="M952" s="174" t="s">
        <v>422</v>
      </c>
      <c r="N952" s="125" t="s">
        <v>197</v>
      </c>
      <c r="O952" s="174" t="s">
        <v>886</v>
      </c>
      <c r="P952" s="174" t="s">
        <v>348</v>
      </c>
      <c r="Q952" s="129" t="s">
        <v>725</v>
      </c>
      <c r="R952" s="174" t="s">
        <v>208</v>
      </c>
      <c r="S952" s="174" t="str">
        <f>MID(PAA[[#This Row],[Meta Proyecto de Inversión]],1,4)</f>
        <v>8126</v>
      </c>
      <c r="T952" s="174" t="str">
        <f>MID(PAA[[#This Row],[Meta Proyecto de Inversión]],6,2)</f>
        <v>9-</v>
      </c>
      <c r="U952" s="179" t="str">
        <f>IFERROR(VLOOKUP(N952,TD!$B$54:$F$58,2,0)," ")</f>
        <v>O230117</v>
      </c>
      <c r="V952" s="179" t="str">
        <f>IFERROR(VLOOKUP(N952,TD!$B$54:$F$58,3,0)," ")</f>
        <v>4599</v>
      </c>
      <c r="W952" s="179">
        <f>IFERROR(VLOOKUP(N952,TD!$B$54:$F$58,4,0)," ")</f>
        <v>20240207</v>
      </c>
      <c r="X952" s="174" t="s">
        <v>174</v>
      </c>
      <c r="Y952" s="172" t="str">
        <f>IFERROR(VLOOKUP(X952,TD!$J$55:$K$68,2,0)," ")</f>
        <v>Infraestructura física, mantenimiento y dotación (Sedes construidas, mantenidas reforzadas)</v>
      </c>
      <c r="Z952" s="180" t="str">
        <f>CONCATENATE(X952,"-",Y952)</f>
        <v>08-Infraestructura física, mantenimiento y dotación (Sedes construidas, mantenidas reforzadas)</v>
      </c>
      <c r="AA952" s="174" t="s">
        <v>227</v>
      </c>
      <c r="AB952" s="172" t="str">
        <f>IFERROR(VLOOKUP(AA952,TD!$N$55:$O$70,2,0)," ")</f>
        <v>Sedes mantenidas</v>
      </c>
      <c r="AC952" s="180" t="str">
        <f>CONCATENATE(AA952,"_",AB952)</f>
        <v>016_Sedes mantenidas</v>
      </c>
      <c r="AD952" s="180" t="str">
        <f>CONCATENATE(Z952," ",AC952)</f>
        <v>08-Infraestructura física, mantenimiento y dotación (Sedes construidas, mantenidas reforzadas) 016_Sedes mantenidas</v>
      </c>
      <c r="AE952" s="179" t="str">
        <f>CONCATENATE(U952,V952,W952,X952,AA952)</f>
        <v>O23011745992024020708016</v>
      </c>
      <c r="AF952" s="172" t="str">
        <f>IFERROR(VLOOKUP(AD952,TD!$J$70:$K$93,2,0)," ")</f>
        <v>PM/0131/0108/45990160207</v>
      </c>
      <c r="AG952" s="130" t="s">
        <v>385</v>
      </c>
      <c r="AH952" s="181" t="s">
        <v>193</v>
      </c>
      <c r="AI952" s="184" t="str">
        <f>CONCATENATE(PAA[[#This Row],[Id Interno]],"-",PAA[[#This Row],[tipo de Contrato (TH talento humano - B/S bienes y/o servicios)]],"-",S952,"-",T952,"-",PAA[[#This Row],[Objeto de la contratación]])</f>
        <v>20260997-TH-8126-9--Prestación de servicios de apoyo a la gestión del proceso de inventarios de la Subdirección de Gestión Corporativa.-SGC</v>
      </c>
    </row>
    <row r="953" spans="2:35" ht="42" x14ac:dyDescent="0.35">
      <c r="B953" s="137">
        <v>20260998</v>
      </c>
      <c r="C953" s="117" t="s">
        <v>877</v>
      </c>
      <c r="D953" s="125" t="s">
        <v>105</v>
      </c>
      <c r="E953" s="125" t="s">
        <v>363</v>
      </c>
      <c r="F953" s="125" t="s">
        <v>144</v>
      </c>
      <c r="G953" s="126" t="s">
        <v>381</v>
      </c>
      <c r="H953" s="132">
        <v>4</v>
      </c>
      <c r="I953" s="132">
        <v>0</v>
      </c>
      <c r="J953" s="127">
        <v>20644348</v>
      </c>
      <c r="K953" s="128" t="s">
        <v>398</v>
      </c>
      <c r="L953" s="176" t="s">
        <v>155</v>
      </c>
      <c r="M953" s="174" t="s">
        <v>422</v>
      </c>
      <c r="N953" s="125" t="s">
        <v>197</v>
      </c>
      <c r="O953" s="174" t="s">
        <v>886</v>
      </c>
      <c r="P953" s="174" t="s">
        <v>348</v>
      </c>
      <c r="Q953" s="129" t="s">
        <v>725</v>
      </c>
      <c r="R953" s="174" t="s">
        <v>208</v>
      </c>
      <c r="S953" s="174" t="str">
        <f>MID(PAA[[#This Row],[Meta Proyecto de Inversión]],1,4)</f>
        <v>8126</v>
      </c>
      <c r="T953" s="174" t="str">
        <f>MID(PAA[[#This Row],[Meta Proyecto de Inversión]],6,2)</f>
        <v>9-</v>
      </c>
      <c r="U953" s="179" t="str">
        <f>IFERROR(VLOOKUP(N953,TD!$B$54:$F$58,2,0)," ")</f>
        <v>O230117</v>
      </c>
      <c r="V953" s="179" t="str">
        <f>IFERROR(VLOOKUP(N953,TD!$B$54:$F$58,3,0)," ")</f>
        <v>4599</v>
      </c>
      <c r="W953" s="179">
        <f>IFERROR(VLOOKUP(N953,TD!$B$54:$F$58,4,0)," ")</f>
        <v>20240207</v>
      </c>
      <c r="X953" s="174" t="s">
        <v>174</v>
      </c>
      <c r="Y953" s="172" t="str">
        <f>IFERROR(VLOOKUP(X953,TD!$J$55:$K$68,2,0)," ")</f>
        <v>Infraestructura física, mantenimiento y dotación (Sedes construidas, mantenidas reforzadas)</v>
      </c>
      <c r="Z953" s="180" t="str">
        <f>CONCATENATE(X953,"-",Y953)</f>
        <v>08-Infraestructura física, mantenimiento y dotación (Sedes construidas, mantenidas reforzadas)</v>
      </c>
      <c r="AA953" s="174" t="s">
        <v>227</v>
      </c>
      <c r="AB953" s="172" t="str">
        <f>IFERROR(VLOOKUP(AA953,TD!$N$55:$O$70,2,0)," ")</f>
        <v>Sedes mantenidas</v>
      </c>
      <c r="AC953" s="180" t="str">
        <f>CONCATENATE(AA953,"_",AB953)</f>
        <v>016_Sedes mantenidas</v>
      </c>
      <c r="AD953" s="180" t="str">
        <f>CONCATENATE(Z953," ",AC953)</f>
        <v>08-Infraestructura física, mantenimiento y dotación (Sedes construidas, mantenidas reforzadas) 016_Sedes mantenidas</v>
      </c>
      <c r="AE953" s="179" t="str">
        <f>CONCATENATE(U953,V953,W953,X953,AA953)</f>
        <v>O23011745992024020708016</v>
      </c>
      <c r="AF953" s="172" t="str">
        <f>IFERROR(VLOOKUP(AD953,TD!$J$70:$K$93,2,0)," ")</f>
        <v>PM/0131/0108/45990160207</v>
      </c>
      <c r="AG953" s="130" t="s">
        <v>385</v>
      </c>
      <c r="AH953" s="181" t="s">
        <v>193</v>
      </c>
      <c r="AI953" s="184" t="str">
        <f>CONCATENATE(PAA[[#This Row],[Id Interno]],"-",PAA[[#This Row],[tipo de Contrato (TH talento humano - B/S bienes y/o servicios)]],"-",S953,"-",T953,"-",PAA[[#This Row],[Objeto de la contratación]])</f>
        <v>20260998-TH-8126-9--Prestación de servicios profesionales, en temas jurídicos de la gestión administrativa a cargo de la Subdirección de Gestión Corporativa.- SGC</v>
      </c>
    </row>
    <row r="954" spans="2:35" ht="42" x14ac:dyDescent="0.35">
      <c r="B954" s="137">
        <v>20260999</v>
      </c>
      <c r="C954" s="117" t="s">
        <v>1242</v>
      </c>
      <c r="D954" s="125" t="s">
        <v>105</v>
      </c>
      <c r="E954" s="125" t="s">
        <v>363</v>
      </c>
      <c r="F954" s="125" t="s">
        <v>144</v>
      </c>
      <c r="G954" s="126" t="s">
        <v>381</v>
      </c>
      <c r="H954" s="132">
        <v>4</v>
      </c>
      <c r="I954" s="132">
        <v>0</v>
      </c>
      <c r="J954" s="127">
        <v>20644348</v>
      </c>
      <c r="K954" s="128" t="s">
        <v>398</v>
      </c>
      <c r="L954" s="176" t="s">
        <v>155</v>
      </c>
      <c r="M954" s="174" t="s">
        <v>422</v>
      </c>
      <c r="N954" s="125" t="s">
        <v>197</v>
      </c>
      <c r="O954" s="174" t="s">
        <v>886</v>
      </c>
      <c r="P954" s="174" t="s">
        <v>348</v>
      </c>
      <c r="Q954" s="129" t="s">
        <v>725</v>
      </c>
      <c r="R954" s="174" t="s">
        <v>208</v>
      </c>
      <c r="S954" s="174" t="str">
        <f>MID(PAA[[#This Row],[Meta Proyecto de Inversión]],1,4)</f>
        <v>8126</v>
      </c>
      <c r="T954" s="174" t="str">
        <f>MID(PAA[[#This Row],[Meta Proyecto de Inversión]],6,2)</f>
        <v>9-</v>
      </c>
      <c r="U954" s="179" t="str">
        <f>IFERROR(VLOOKUP(N954,TD!$B$54:$F$58,2,0)," ")</f>
        <v>O230117</v>
      </c>
      <c r="V954" s="179" t="str">
        <f>IFERROR(VLOOKUP(N954,TD!$B$54:$F$58,3,0)," ")</f>
        <v>4599</v>
      </c>
      <c r="W954" s="179">
        <f>IFERROR(VLOOKUP(N954,TD!$B$54:$F$58,4,0)," ")</f>
        <v>20240207</v>
      </c>
      <c r="X954" s="174" t="s">
        <v>174</v>
      </c>
      <c r="Y954" s="172" t="str">
        <f>IFERROR(VLOOKUP(X954,TD!$J$55:$K$68,2,0)," ")</f>
        <v>Infraestructura física, mantenimiento y dotación (Sedes construidas, mantenidas reforzadas)</v>
      </c>
      <c r="Z954" s="180" t="str">
        <f>CONCATENATE(X954,"-",Y954)</f>
        <v>08-Infraestructura física, mantenimiento y dotación (Sedes construidas, mantenidas reforzadas)</v>
      </c>
      <c r="AA954" s="174" t="s">
        <v>227</v>
      </c>
      <c r="AB954" s="172" t="str">
        <f>IFERROR(VLOOKUP(AA954,TD!$N$55:$O$70,2,0)," ")</f>
        <v>Sedes mantenidas</v>
      </c>
      <c r="AC954" s="180" t="str">
        <f>CONCATENATE(AA954,"_",AB954)</f>
        <v>016_Sedes mantenidas</v>
      </c>
      <c r="AD954" s="180" t="str">
        <f>CONCATENATE(Z954," ",AC954)</f>
        <v>08-Infraestructura física, mantenimiento y dotación (Sedes construidas, mantenidas reforzadas) 016_Sedes mantenidas</v>
      </c>
      <c r="AE954" s="179" t="str">
        <f>CONCATENATE(U954,V954,W954,X954,AA954)</f>
        <v>O23011745992024020708016</v>
      </c>
      <c r="AF954" s="172" t="str">
        <f>IFERROR(VLOOKUP(AD954,TD!$J$70:$K$93,2,0)," ")</f>
        <v>PM/0131/0108/45990160207</v>
      </c>
      <c r="AG954" s="130" t="s">
        <v>385</v>
      </c>
      <c r="AH954" s="181" t="s">
        <v>193</v>
      </c>
      <c r="AI954" s="184" t="str">
        <f>CONCATENATE(PAA[[#This Row],[Id Interno]],"-",PAA[[#This Row],[tipo de Contrato (TH talento humano - B/S bienes y/o servicios)]],"-",S954,"-",T954,"-",PAA[[#This Row],[Objeto de la contratación]])</f>
        <v>20260999-TH-8126-9--Prestar servicios profesionales para realizar acompañamiento juridico adelantados por la Subdirección Gestión Corporativa -SGC</v>
      </c>
    </row>
    <row r="955" spans="2:35" ht="42" x14ac:dyDescent="0.35">
      <c r="B955" s="137">
        <v>20261000</v>
      </c>
      <c r="C955" s="117" t="s">
        <v>1243</v>
      </c>
      <c r="D955" s="125" t="s">
        <v>105</v>
      </c>
      <c r="E955" s="125" t="s">
        <v>363</v>
      </c>
      <c r="F955" s="125" t="s">
        <v>145</v>
      </c>
      <c r="G955" s="126" t="s">
        <v>381</v>
      </c>
      <c r="H955" s="132">
        <v>4</v>
      </c>
      <c r="I955" s="132">
        <v>0</v>
      </c>
      <c r="J955" s="127">
        <v>11260556</v>
      </c>
      <c r="K955" s="128" t="s">
        <v>398</v>
      </c>
      <c r="L955" s="176" t="s">
        <v>155</v>
      </c>
      <c r="M955" s="174" t="s">
        <v>422</v>
      </c>
      <c r="N955" s="125" t="s">
        <v>197</v>
      </c>
      <c r="O955" s="174" t="s">
        <v>886</v>
      </c>
      <c r="P955" s="174" t="s">
        <v>348</v>
      </c>
      <c r="Q955" s="129" t="s">
        <v>725</v>
      </c>
      <c r="R955" s="174" t="s">
        <v>208</v>
      </c>
      <c r="S955" s="174" t="str">
        <f>MID(PAA[[#This Row],[Meta Proyecto de Inversión]],1,4)</f>
        <v>8126</v>
      </c>
      <c r="T955" s="174" t="str">
        <f>MID(PAA[[#This Row],[Meta Proyecto de Inversión]],6,2)</f>
        <v>9-</v>
      </c>
      <c r="U955" s="179" t="str">
        <f>IFERROR(VLOOKUP(N955,TD!$B$54:$F$58,2,0)," ")</f>
        <v>O230117</v>
      </c>
      <c r="V955" s="179" t="str">
        <f>IFERROR(VLOOKUP(N955,TD!$B$54:$F$58,3,0)," ")</f>
        <v>4599</v>
      </c>
      <c r="W955" s="179">
        <f>IFERROR(VLOOKUP(N955,TD!$B$54:$F$58,4,0)," ")</f>
        <v>20240207</v>
      </c>
      <c r="X955" s="174" t="s">
        <v>174</v>
      </c>
      <c r="Y955" s="172" t="str">
        <f>IFERROR(VLOOKUP(X955,TD!$J$55:$K$68,2,0)," ")</f>
        <v>Infraestructura física, mantenimiento y dotación (Sedes construidas, mantenidas reforzadas)</v>
      </c>
      <c r="Z955" s="180" t="str">
        <f>CONCATENATE(X955,"-",Y955)</f>
        <v>08-Infraestructura física, mantenimiento y dotación (Sedes construidas, mantenidas reforzadas)</v>
      </c>
      <c r="AA955" s="174" t="s">
        <v>227</v>
      </c>
      <c r="AB955" s="172" t="str">
        <f>IFERROR(VLOOKUP(AA955,TD!$N$55:$O$70,2,0)," ")</f>
        <v>Sedes mantenidas</v>
      </c>
      <c r="AC955" s="180" t="str">
        <f>CONCATENATE(AA955,"_",AB955)</f>
        <v>016_Sedes mantenidas</v>
      </c>
      <c r="AD955" s="180" t="str">
        <f>CONCATENATE(Z955," ",AC955)</f>
        <v>08-Infraestructura física, mantenimiento y dotación (Sedes construidas, mantenidas reforzadas) 016_Sedes mantenidas</v>
      </c>
      <c r="AE955" s="179" t="str">
        <f>CONCATENATE(U955,V955,W955,X955,AA955)</f>
        <v>O23011745992024020708016</v>
      </c>
      <c r="AF955" s="172" t="str">
        <f>IFERROR(VLOOKUP(AD955,TD!$J$70:$K$93,2,0)," ")</f>
        <v>PM/0131/0108/45990160207</v>
      </c>
      <c r="AG955" s="130" t="s">
        <v>385</v>
      </c>
      <c r="AH955" s="181" t="s">
        <v>193</v>
      </c>
      <c r="AI955" s="184" t="str">
        <f>CONCATENATE(PAA[[#This Row],[Id Interno]],"-",PAA[[#This Row],[tipo de Contrato (TH talento humano - B/S bienes y/o servicios)]],"-",S955,"-",T955,"-",PAA[[#This Row],[Objeto de la contratación]])</f>
        <v>20261000-TH-8126-9--Prestación de servicios de apoyo a la gestión para los procesos financieros y contables de la Subdirección de Gestión Corporativa de la Unidad.-SGC</v>
      </c>
    </row>
    <row r="956" spans="2:35" ht="42" x14ac:dyDescent="0.35">
      <c r="B956" s="137">
        <v>20261001</v>
      </c>
      <c r="C956" s="117" t="s">
        <v>638</v>
      </c>
      <c r="D956" s="125" t="s">
        <v>105</v>
      </c>
      <c r="E956" s="125" t="s">
        <v>363</v>
      </c>
      <c r="F956" s="125" t="s">
        <v>145</v>
      </c>
      <c r="G956" s="126" t="s">
        <v>381</v>
      </c>
      <c r="H956" s="132">
        <v>4</v>
      </c>
      <c r="I956" s="132">
        <v>0</v>
      </c>
      <c r="J956" s="127">
        <v>13137312</v>
      </c>
      <c r="K956" s="128" t="s">
        <v>398</v>
      </c>
      <c r="L956" s="176" t="s">
        <v>155</v>
      </c>
      <c r="M956" s="174" t="s">
        <v>422</v>
      </c>
      <c r="N956" s="125" t="s">
        <v>197</v>
      </c>
      <c r="O956" s="174" t="s">
        <v>886</v>
      </c>
      <c r="P956" s="174" t="s">
        <v>348</v>
      </c>
      <c r="Q956" s="129" t="s">
        <v>725</v>
      </c>
      <c r="R956" s="174" t="s">
        <v>208</v>
      </c>
      <c r="S956" s="174" t="str">
        <f>MID(PAA[[#This Row],[Meta Proyecto de Inversión]],1,4)</f>
        <v>8126</v>
      </c>
      <c r="T956" s="174" t="str">
        <f>MID(PAA[[#This Row],[Meta Proyecto de Inversión]],6,2)</f>
        <v>9-</v>
      </c>
      <c r="U956" s="179" t="str">
        <f>IFERROR(VLOOKUP(N956,TD!$B$54:$F$58,2,0)," ")</f>
        <v>O230117</v>
      </c>
      <c r="V956" s="179" t="str">
        <f>IFERROR(VLOOKUP(N956,TD!$B$54:$F$58,3,0)," ")</f>
        <v>4599</v>
      </c>
      <c r="W956" s="179">
        <f>IFERROR(VLOOKUP(N956,TD!$B$54:$F$58,4,0)," ")</f>
        <v>20240207</v>
      </c>
      <c r="X956" s="174" t="s">
        <v>174</v>
      </c>
      <c r="Y956" s="172" t="str">
        <f>IFERROR(VLOOKUP(X956,TD!$J$55:$K$68,2,0)," ")</f>
        <v>Infraestructura física, mantenimiento y dotación (Sedes construidas, mantenidas reforzadas)</v>
      </c>
      <c r="Z956" s="180" t="str">
        <f>CONCATENATE(X956,"-",Y956)</f>
        <v>08-Infraestructura física, mantenimiento y dotación (Sedes construidas, mantenidas reforzadas)</v>
      </c>
      <c r="AA956" s="174" t="s">
        <v>227</v>
      </c>
      <c r="AB956" s="172" t="str">
        <f>IFERROR(VLOOKUP(AA956,TD!$N$55:$O$70,2,0)," ")</f>
        <v>Sedes mantenidas</v>
      </c>
      <c r="AC956" s="180" t="str">
        <f>CONCATENATE(AA956,"_",AB956)</f>
        <v>016_Sedes mantenidas</v>
      </c>
      <c r="AD956" s="180" t="str">
        <f>CONCATENATE(Z956," ",AC956)</f>
        <v>08-Infraestructura física, mantenimiento y dotación (Sedes construidas, mantenidas reforzadas) 016_Sedes mantenidas</v>
      </c>
      <c r="AE956" s="179" t="str">
        <f>CONCATENATE(U956,V956,W956,X956,AA956)</f>
        <v>O23011745992024020708016</v>
      </c>
      <c r="AF956" s="172" t="str">
        <f>IFERROR(VLOOKUP(AD956,TD!$J$70:$K$93,2,0)," ")</f>
        <v>PM/0131/0108/45990160207</v>
      </c>
      <c r="AG956" s="130" t="s">
        <v>385</v>
      </c>
      <c r="AH956" s="181" t="s">
        <v>193</v>
      </c>
      <c r="AI956" s="184" t="str">
        <f>CONCATENATE(PAA[[#This Row],[Id Interno]],"-",PAA[[#This Row],[tipo de Contrato (TH talento humano - B/S bienes y/o servicios)]],"-",S956,"-",T956,"-",PAA[[#This Row],[Objeto de la contratación]])</f>
        <v>20261001-TH-8126-9--Prestación de servicios de apoyo a la gestión en la ejecución de los planes y programas de servicio al ciudadano a cargo de la Subdirección de Gestión Corporativa.-SGC</v>
      </c>
    </row>
    <row r="957" spans="2:35" ht="42" x14ac:dyDescent="0.35">
      <c r="B957" s="137">
        <v>20261002</v>
      </c>
      <c r="C957" s="117" t="s">
        <v>671</v>
      </c>
      <c r="D957" s="125" t="s">
        <v>105</v>
      </c>
      <c r="E957" s="125" t="s">
        <v>363</v>
      </c>
      <c r="F957" s="125" t="s">
        <v>144</v>
      </c>
      <c r="G957" s="126" t="s">
        <v>381</v>
      </c>
      <c r="H957" s="132">
        <v>4</v>
      </c>
      <c r="I957" s="132">
        <v>0</v>
      </c>
      <c r="J957" s="127">
        <v>24129756</v>
      </c>
      <c r="K957" s="128" t="s">
        <v>398</v>
      </c>
      <c r="L957" s="176" t="s">
        <v>155</v>
      </c>
      <c r="M957" s="174" t="s">
        <v>422</v>
      </c>
      <c r="N957" s="125" t="s">
        <v>198</v>
      </c>
      <c r="O957" s="174" t="s">
        <v>887</v>
      </c>
      <c r="P957" s="174" t="s">
        <v>348</v>
      </c>
      <c r="Q957" s="129" t="s">
        <v>725</v>
      </c>
      <c r="R957" s="174" t="s">
        <v>216</v>
      </c>
      <c r="S957" s="174" t="str">
        <f>MID(PAA[[#This Row],[Meta Proyecto de Inversión]],1,4)</f>
        <v>8173</v>
      </c>
      <c r="T957" s="174" t="str">
        <f>MID(PAA[[#This Row],[Meta Proyecto de Inversión]],6,2)</f>
        <v>7-</v>
      </c>
      <c r="U957" s="179" t="str">
        <f>IFERROR(VLOOKUP(N957,TD!$B$54:$F$58,2,0)," ")</f>
        <v>O230117</v>
      </c>
      <c r="V957" s="179" t="str">
        <f>IFERROR(VLOOKUP(N957,TD!$B$54:$F$58,3,0)," ")</f>
        <v>4503</v>
      </c>
      <c r="W957" s="179">
        <f>IFERROR(VLOOKUP(N957,TD!$B$54:$F$58,4,0)," ")</f>
        <v>20240255</v>
      </c>
      <c r="X957" s="174">
        <v>14</v>
      </c>
      <c r="Y957" s="172" t="str">
        <f>IFERROR(VLOOKUP(X957,TD!$J$55:$K$68,2,0)," ")</f>
        <v xml:space="preserve">Infraestructura física misional construida mantenida y dotada </v>
      </c>
      <c r="Z957" s="180" t="str">
        <f>CONCATENATE(X957,"-",Y957)</f>
        <v xml:space="preserve">14-Infraestructura física misional construida mantenida y dotada </v>
      </c>
      <c r="AA957" s="174" t="s">
        <v>225</v>
      </c>
      <c r="AB957" s="172" t="str">
        <f>IFERROR(VLOOKUP(AA957,TD!$N$55:$O$70,2,0)," ")</f>
        <v>Estaciones de bomberos adecuadas</v>
      </c>
      <c r="AC957" s="180" t="str">
        <f>CONCATENATE(AA957,"_",AB957)</f>
        <v>014_Estaciones de bomberos adecuadas</v>
      </c>
      <c r="AD957" s="180" t="str">
        <f>CONCATENATE(Z957," ",AC957)</f>
        <v>14-Infraestructura física misional construida mantenida y dotada  014_Estaciones de bomberos adecuadas</v>
      </c>
      <c r="AE957" s="179" t="str">
        <f>CONCATENATE(U957,V957,W957,X957,AA957)</f>
        <v>O23011745032024025514014</v>
      </c>
      <c r="AF957" s="172" t="str">
        <f>IFERROR(VLOOKUP(AD957,TD!$J$70:$K$93,2,0)," ")</f>
        <v>PM/0131/0114/45030140255</v>
      </c>
      <c r="AG957" s="130" t="s">
        <v>385</v>
      </c>
      <c r="AH957" s="181" t="s">
        <v>193</v>
      </c>
      <c r="AI957" s="184" t="str">
        <f>CONCATENATE(PAA[[#This Row],[Id Interno]],"-",PAA[[#This Row],[tipo de Contrato (TH talento humano - B/S bienes y/o servicios)]],"-",S957,"-",T957,"-",PAA[[#This Row],[Objeto de la contratación]])</f>
        <v>20261002-TH-8173-7--Prestación de servicios profesionales con el fin de gestionar trámites de carácter técnico, administrativo y operativamente en el desarrollo de los proyectos de inversión  de la entidad-SGC</v>
      </c>
    </row>
    <row r="958" spans="2:35" ht="56" x14ac:dyDescent="0.35">
      <c r="B958" s="137">
        <v>20261003</v>
      </c>
      <c r="C958" s="117" t="s">
        <v>665</v>
      </c>
      <c r="D958" s="125" t="s">
        <v>105</v>
      </c>
      <c r="E958" s="125" t="s">
        <v>363</v>
      </c>
      <c r="F958" s="125" t="s">
        <v>145</v>
      </c>
      <c r="G958" s="126" t="s">
        <v>381</v>
      </c>
      <c r="H958" s="132">
        <v>4</v>
      </c>
      <c r="I958" s="132">
        <v>0</v>
      </c>
      <c r="J958" s="127">
        <v>13137312</v>
      </c>
      <c r="K958" s="128" t="s">
        <v>398</v>
      </c>
      <c r="L958" s="176" t="s">
        <v>155</v>
      </c>
      <c r="M958" s="174" t="s">
        <v>422</v>
      </c>
      <c r="N958" s="125" t="s">
        <v>197</v>
      </c>
      <c r="O958" s="174" t="s">
        <v>886</v>
      </c>
      <c r="P958" s="174" t="s">
        <v>348</v>
      </c>
      <c r="Q958" s="129" t="s">
        <v>725</v>
      </c>
      <c r="R958" s="174" t="s">
        <v>207</v>
      </c>
      <c r="S958" s="174" t="str">
        <f>MID(PAA[[#This Row],[Meta Proyecto de Inversión]],1,4)</f>
        <v>8126</v>
      </c>
      <c r="T958" s="174" t="str">
        <f>MID(PAA[[#This Row],[Meta Proyecto de Inversión]],6,2)</f>
        <v>8-</v>
      </c>
      <c r="U958" s="179" t="str">
        <f>IFERROR(VLOOKUP(N958,TD!$B$54:$F$58,2,0)," ")</f>
        <v>O230117</v>
      </c>
      <c r="V958" s="179" t="str">
        <f>IFERROR(VLOOKUP(N958,TD!$B$54:$F$58,3,0)," ")</f>
        <v>4599</v>
      </c>
      <c r="W958" s="179">
        <f>IFERROR(VLOOKUP(N958,TD!$B$54:$F$58,4,0)," ")</f>
        <v>20240207</v>
      </c>
      <c r="X958" s="174" t="s">
        <v>174</v>
      </c>
      <c r="Y958" s="172" t="str">
        <f>IFERROR(VLOOKUP(X958,TD!$J$55:$K$68,2,0)," ")</f>
        <v>Infraestructura física, mantenimiento y dotación (Sedes construidas, mantenidas reforzadas)</v>
      </c>
      <c r="Z958" s="180" t="str">
        <f>CONCATENATE(X958,"-",Y958)</f>
        <v>08-Infraestructura física, mantenimiento y dotación (Sedes construidas, mantenidas reforzadas)</v>
      </c>
      <c r="AA958" s="174" t="s">
        <v>227</v>
      </c>
      <c r="AB958" s="172" t="str">
        <f>IFERROR(VLOOKUP(AA958,TD!$N$55:$O$70,2,0)," ")</f>
        <v>Sedes mantenidas</v>
      </c>
      <c r="AC958" s="180" t="str">
        <f>CONCATENATE(AA958,"_",AB958)</f>
        <v>016_Sedes mantenidas</v>
      </c>
      <c r="AD958" s="180" t="str">
        <f>CONCATENATE(Z958," ",AC958)</f>
        <v>08-Infraestructura física, mantenimiento y dotación (Sedes construidas, mantenidas reforzadas) 016_Sedes mantenidas</v>
      </c>
      <c r="AE958" s="179" t="str">
        <f>CONCATENATE(U958,V958,W958,X958,AA958)</f>
        <v>O23011745992024020708016</v>
      </c>
      <c r="AF958" s="172" t="str">
        <f>IFERROR(VLOOKUP(AD958,TD!$J$70:$K$93,2,0)," ")</f>
        <v>PM/0131/0108/45990160207</v>
      </c>
      <c r="AG958" s="130" t="s">
        <v>385</v>
      </c>
      <c r="AH958" s="181" t="s">
        <v>193</v>
      </c>
      <c r="AI958" s="184" t="str">
        <f>CONCATENATE(PAA[[#This Row],[Id Interno]],"-",PAA[[#This Row],[tipo de Contrato (TH talento humano - B/S bienes y/o servicios)]],"-",S958,"-",T958,"-",PAA[[#This Row],[Objeto de la contratación]])</f>
        <v>20261003-TH-8126-8--Prestación de servicios de apoyo a la gestión, en la Subdirección de Gestión Corporativa en temas de infraestructura para el sostenimiento y mejoramiento de los equipamientos de la Unidad Administrativa Especial Cuerpo Oficial de Bomberos de Bogotá-SGC</v>
      </c>
    </row>
    <row r="959" spans="2:35" ht="70" x14ac:dyDescent="0.35">
      <c r="B959" s="137">
        <v>20261004</v>
      </c>
      <c r="C959" s="117" t="s">
        <v>693</v>
      </c>
      <c r="D959" s="125" t="s">
        <v>105</v>
      </c>
      <c r="E959" s="125" t="s">
        <v>363</v>
      </c>
      <c r="F959" s="125" t="s">
        <v>144</v>
      </c>
      <c r="G959" s="126" t="s">
        <v>381</v>
      </c>
      <c r="H959" s="132">
        <v>3</v>
      </c>
      <c r="I959" s="132">
        <v>0</v>
      </c>
      <c r="J959" s="127">
        <v>21000000</v>
      </c>
      <c r="K959" s="128" t="s">
        <v>398</v>
      </c>
      <c r="L959" s="176" t="s">
        <v>155</v>
      </c>
      <c r="M959" s="174" t="s">
        <v>422</v>
      </c>
      <c r="N959" s="125" t="s">
        <v>197</v>
      </c>
      <c r="O959" s="174" t="s">
        <v>886</v>
      </c>
      <c r="P959" s="174" t="s">
        <v>348</v>
      </c>
      <c r="Q959" s="129" t="s">
        <v>725</v>
      </c>
      <c r="R959" s="174" t="s">
        <v>208</v>
      </c>
      <c r="S959" s="174" t="str">
        <f>MID(PAA[[#This Row],[Meta Proyecto de Inversión]],1,4)</f>
        <v>8126</v>
      </c>
      <c r="T959" s="174" t="str">
        <f>MID(PAA[[#This Row],[Meta Proyecto de Inversión]],6,2)</f>
        <v>9-</v>
      </c>
      <c r="U959" s="179" t="str">
        <f>IFERROR(VLOOKUP(N959,TD!$B$54:$F$58,2,0)," ")</f>
        <v>O230117</v>
      </c>
      <c r="V959" s="179" t="str">
        <f>IFERROR(VLOOKUP(N959,TD!$B$54:$F$58,3,0)," ")</f>
        <v>4599</v>
      </c>
      <c r="W959" s="179">
        <f>IFERROR(VLOOKUP(N959,TD!$B$54:$F$58,4,0)," ")</f>
        <v>20240207</v>
      </c>
      <c r="X959" s="174" t="s">
        <v>174</v>
      </c>
      <c r="Y959" s="172" t="str">
        <f>IFERROR(VLOOKUP(X959,TD!$J$55:$K$68,2,0)," ")</f>
        <v>Infraestructura física, mantenimiento y dotación (Sedes construidas, mantenidas reforzadas)</v>
      </c>
      <c r="Z959" s="180" t="str">
        <f>CONCATENATE(X959,"-",Y959)</f>
        <v>08-Infraestructura física, mantenimiento y dotación (Sedes construidas, mantenidas reforzadas)</v>
      </c>
      <c r="AA959" s="174" t="s">
        <v>227</v>
      </c>
      <c r="AB959" s="172" t="str">
        <f>IFERROR(VLOOKUP(AA959,TD!$N$55:$O$70,2,0)," ")</f>
        <v>Sedes mantenidas</v>
      </c>
      <c r="AC959" s="180" t="str">
        <f>CONCATENATE(AA959,"_",AB959)</f>
        <v>016_Sedes mantenidas</v>
      </c>
      <c r="AD959" s="180" t="str">
        <f>CONCATENATE(Z959," ",AC959)</f>
        <v>08-Infraestructura física, mantenimiento y dotación (Sedes construidas, mantenidas reforzadas) 016_Sedes mantenidas</v>
      </c>
      <c r="AE959" s="179" t="str">
        <f>CONCATENATE(U959,V959,W959,X959,AA959)</f>
        <v>O23011745992024020708016</v>
      </c>
      <c r="AF959" s="172" t="str">
        <f>IFERROR(VLOOKUP(AD959,TD!$J$70:$K$93,2,0)," ")</f>
        <v>PM/0131/0108/45990160207</v>
      </c>
      <c r="AG959" s="130" t="s">
        <v>385</v>
      </c>
      <c r="AH959" s="181" t="s">
        <v>193</v>
      </c>
      <c r="AI959" s="184" t="str">
        <f>CONCATENATE(PAA[[#This Row],[Id Interno]],"-",PAA[[#This Row],[tipo de Contrato (TH talento humano - B/S bienes y/o servicios)]],"-",S959,"-",T959,"-",PAA[[#This Row],[Objeto de la contratación]])</f>
        <v>20261004-TH-8126-9--Prestación de servicios profesionales en el acompañamiento y asistencia al proceso de gestión documental de la UAE Cuerpo oficial de Bomberos. -SGC</v>
      </c>
    </row>
    <row r="960" spans="2:35" ht="42" x14ac:dyDescent="0.35">
      <c r="B960" s="137">
        <v>20261005</v>
      </c>
      <c r="C960" s="117" t="s">
        <v>651</v>
      </c>
      <c r="D960" s="125" t="s">
        <v>105</v>
      </c>
      <c r="E960" s="125" t="s">
        <v>363</v>
      </c>
      <c r="F960" s="125" t="s">
        <v>145</v>
      </c>
      <c r="G960" s="126" t="s">
        <v>381</v>
      </c>
      <c r="H960" s="132">
        <v>4</v>
      </c>
      <c r="I960" s="132">
        <v>0</v>
      </c>
      <c r="J960" s="127">
        <v>11260556</v>
      </c>
      <c r="K960" s="128" t="s">
        <v>398</v>
      </c>
      <c r="L960" s="176" t="s">
        <v>155</v>
      </c>
      <c r="M960" s="174" t="s">
        <v>422</v>
      </c>
      <c r="N960" s="125" t="s">
        <v>197</v>
      </c>
      <c r="O960" s="174" t="s">
        <v>886</v>
      </c>
      <c r="P960" s="174" t="s">
        <v>348</v>
      </c>
      <c r="Q960" s="129" t="s">
        <v>725</v>
      </c>
      <c r="R960" s="174" t="s">
        <v>208</v>
      </c>
      <c r="S960" s="174" t="str">
        <f>MID(PAA[[#This Row],[Meta Proyecto de Inversión]],1,4)</f>
        <v>8126</v>
      </c>
      <c r="T960" s="174" t="str">
        <f>MID(PAA[[#This Row],[Meta Proyecto de Inversión]],6,2)</f>
        <v>9-</v>
      </c>
      <c r="U960" s="179" t="str">
        <f>IFERROR(VLOOKUP(N960,TD!$B$54:$F$58,2,0)," ")</f>
        <v>O230117</v>
      </c>
      <c r="V960" s="179" t="str">
        <f>IFERROR(VLOOKUP(N960,TD!$B$54:$F$58,3,0)," ")</f>
        <v>4599</v>
      </c>
      <c r="W960" s="179">
        <f>IFERROR(VLOOKUP(N960,TD!$B$54:$F$58,4,0)," ")</f>
        <v>20240207</v>
      </c>
      <c r="X960" s="174" t="s">
        <v>174</v>
      </c>
      <c r="Y960" s="172" t="str">
        <f>IFERROR(VLOOKUP(X960,TD!$J$55:$K$68,2,0)," ")</f>
        <v>Infraestructura física, mantenimiento y dotación (Sedes construidas, mantenidas reforzadas)</v>
      </c>
      <c r="Z960" s="180" t="str">
        <f>CONCATENATE(X960,"-",Y960)</f>
        <v>08-Infraestructura física, mantenimiento y dotación (Sedes construidas, mantenidas reforzadas)</v>
      </c>
      <c r="AA960" s="174" t="s">
        <v>227</v>
      </c>
      <c r="AB960" s="172" t="str">
        <f>IFERROR(VLOOKUP(AA960,TD!$N$55:$O$70,2,0)," ")</f>
        <v>Sedes mantenidas</v>
      </c>
      <c r="AC960" s="180" t="str">
        <f>CONCATENATE(AA960,"_",AB960)</f>
        <v>016_Sedes mantenidas</v>
      </c>
      <c r="AD960" s="180" t="str">
        <f>CONCATENATE(Z960," ",AC960)</f>
        <v>08-Infraestructura física, mantenimiento y dotación (Sedes construidas, mantenidas reforzadas) 016_Sedes mantenidas</v>
      </c>
      <c r="AE960" s="179" t="str">
        <f>CONCATENATE(U960,V960,W960,X960,AA960)</f>
        <v>O23011745992024020708016</v>
      </c>
      <c r="AF960" s="172" t="str">
        <f>IFERROR(VLOOKUP(AD960,TD!$J$70:$K$93,2,0)," ")</f>
        <v>PM/0131/0108/45990160207</v>
      </c>
      <c r="AG960" s="130" t="s">
        <v>385</v>
      </c>
      <c r="AH960" s="181" t="s">
        <v>193</v>
      </c>
      <c r="AI960" s="184" t="str">
        <f>CONCATENATE(PAA[[#This Row],[Id Interno]],"-",PAA[[#This Row],[tipo de Contrato (TH talento humano - B/S bienes y/o servicios)]],"-",S960,"-",T960,"-",PAA[[#This Row],[Objeto de la contratación]])</f>
        <v>20261005-TH-8126-9--Prestación de servicios de apoyo a la gestión documental de la Subdirección de Gestión Corporativa de la Unidad.-SGC</v>
      </c>
    </row>
    <row r="961" spans="2:35" ht="42" x14ac:dyDescent="0.35">
      <c r="B961" s="137">
        <v>20261006</v>
      </c>
      <c r="C961" s="117" t="s">
        <v>696</v>
      </c>
      <c r="D961" s="125" t="s">
        <v>105</v>
      </c>
      <c r="E961" s="125" t="s">
        <v>363</v>
      </c>
      <c r="F961" s="125" t="s">
        <v>144</v>
      </c>
      <c r="G961" s="126" t="s">
        <v>381</v>
      </c>
      <c r="H961" s="132">
        <v>4</v>
      </c>
      <c r="I961" s="132">
        <v>0</v>
      </c>
      <c r="J961" s="127">
        <v>28000000</v>
      </c>
      <c r="K961" s="128" t="s">
        <v>398</v>
      </c>
      <c r="L961" s="176" t="s">
        <v>155</v>
      </c>
      <c r="M961" s="174" t="s">
        <v>422</v>
      </c>
      <c r="N961" s="125" t="s">
        <v>197</v>
      </c>
      <c r="O961" s="174" t="s">
        <v>886</v>
      </c>
      <c r="P961" s="174" t="s">
        <v>348</v>
      </c>
      <c r="Q961" s="129" t="s">
        <v>725</v>
      </c>
      <c r="R961" s="174" t="s">
        <v>207</v>
      </c>
      <c r="S961" s="174" t="str">
        <f>MID(PAA[[#This Row],[Meta Proyecto de Inversión]],1,4)</f>
        <v>8126</v>
      </c>
      <c r="T961" s="174" t="str">
        <f>MID(PAA[[#This Row],[Meta Proyecto de Inversión]],6,2)</f>
        <v>8-</v>
      </c>
      <c r="U961" s="179" t="str">
        <f>IFERROR(VLOOKUP(N961,TD!$B$54:$F$58,2,0)," ")</f>
        <v>O230117</v>
      </c>
      <c r="V961" s="179" t="str">
        <f>IFERROR(VLOOKUP(N961,TD!$B$54:$F$58,3,0)," ")</f>
        <v>4599</v>
      </c>
      <c r="W961" s="179">
        <f>IFERROR(VLOOKUP(N961,TD!$B$54:$F$58,4,0)," ")</f>
        <v>20240207</v>
      </c>
      <c r="X961" s="174" t="s">
        <v>174</v>
      </c>
      <c r="Y961" s="172" t="str">
        <f>IFERROR(VLOOKUP(X961,TD!$J$55:$K$68,2,0)," ")</f>
        <v>Infraestructura física, mantenimiento y dotación (Sedes construidas, mantenidas reforzadas)</v>
      </c>
      <c r="Z961" s="180" t="str">
        <f>CONCATENATE(X961,"-",Y961)</f>
        <v>08-Infraestructura física, mantenimiento y dotación (Sedes construidas, mantenidas reforzadas)</v>
      </c>
      <c r="AA961" s="174" t="s">
        <v>227</v>
      </c>
      <c r="AB961" s="172" t="str">
        <f>IFERROR(VLOOKUP(AA961,TD!$N$55:$O$70,2,0)," ")</f>
        <v>Sedes mantenidas</v>
      </c>
      <c r="AC961" s="180" t="str">
        <f>CONCATENATE(AA961,"_",AB961)</f>
        <v>016_Sedes mantenidas</v>
      </c>
      <c r="AD961" s="180" t="str">
        <f>CONCATENATE(Z961," ",AC961)</f>
        <v>08-Infraestructura física, mantenimiento y dotación (Sedes construidas, mantenidas reforzadas) 016_Sedes mantenidas</v>
      </c>
      <c r="AE961" s="179" t="str">
        <f>CONCATENATE(U961,V961,W961,X961,AA961)</f>
        <v>O23011745992024020708016</v>
      </c>
      <c r="AF961" s="172" t="str">
        <f>IFERROR(VLOOKUP(AD961,TD!$J$70:$K$93,2,0)," ")</f>
        <v>PM/0131/0108/45990160207</v>
      </c>
      <c r="AG961" s="130" t="s">
        <v>385</v>
      </c>
      <c r="AH961" s="181" t="s">
        <v>193</v>
      </c>
      <c r="AI961" s="184" t="str">
        <f>CONCATENATE(PAA[[#This Row],[Id Interno]],"-",PAA[[#This Row],[tipo de Contrato (TH talento humano - B/S bienes y/o servicios)]],"-",S961,"-",T961,"-",PAA[[#This Row],[Objeto de la contratación]])</f>
        <v>20261006-TH-8126-8--Prestar servicios profesionales especializados como ingeniero electrónico para apoyar las actividades propias que contribuyan al desarrollo de la infraestructura requerida por la entidad para la adecuada prestación del servicio-SGC</v>
      </c>
    </row>
    <row r="962" spans="2:35" ht="56" x14ac:dyDescent="0.35">
      <c r="B962" s="137">
        <v>20261007</v>
      </c>
      <c r="C962" s="117" t="s">
        <v>638</v>
      </c>
      <c r="D962" s="125" t="s">
        <v>105</v>
      </c>
      <c r="E962" s="125" t="s">
        <v>363</v>
      </c>
      <c r="F962" s="125" t="s">
        <v>145</v>
      </c>
      <c r="G962" s="126" t="s">
        <v>381</v>
      </c>
      <c r="H962" s="132">
        <v>4</v>
      </c>
      <c r="I962" s="132">
        <v>0</v>
      </c>
      <c r="J962" s="127">
        <v>13137312</v>
      </c>
      <c r="K962" s="128" t="s">
        <v>398</v>
      </c>
      <c r="L962" s="176" t="s">
        <v>155</v>
      </c>
      <c r="M962" s="174" t="s">
        <v>422</v>
      </c>
      <c r="N962" s="125" t="s">
        <v>197</v>
      </c>
      <c r="O962" s="174" t="s">
        <v>886</v>
      </c>
      <c r="P962" s="174" t="s">
        <v>348</v>
      </c>
      <c r="Q962" s="129" t="s">
        <v>725</v>
      </c>
      <c r="R962" s="174" t="s">
        <v>208</v>
      </c>
      <c r="S962" s="174" t="str">
        <f>MID(PAA[[#This Row],[Meta Proyecto de Inversión]],1,4)</f>
        <v>8126</v>
      </c>
      <c r="T962" s="174" t="str">
        <f>MID(PAA[[#This Row],[Meta Proyecto de Inversión]],6,2)</f>
        <v>9-</v>
      </c>
      <c r="U962" s="179" t="str">
        <f>IFERROR(VLOOKUP(N962,TD!$B$54:$F$58,2,0)," ")</f>
        <v>O230117</v>
      </c>
      <c r="V962" s="179" t="str">
        <f>IFERROR(VLOOKUP(N962,TD!$B$54:$F$58,3,0)," ")</f>
        <v>4599</v>
      </c>
      <c r="W962" s="179">
        <f>IFERROR(VLOOKUP(N962,TD!$B$54:$F$58,4,0)," ")</f>
        <v>20240207</v>
      </c>
      <c r="X962" s="174" t="s">
        <v>174</v>
      </c>
      <c r="Y962" s="172" t="str">
        <f>IFERROR(VLOOKUP(X962,TD!$J$55:$K$68,2,0)," ")</f>
        <v>Infraestructura física, mantenimiento y dotación (Sedes construidas, mantenidas reforzadas)</v>
      </c>
      <c r="Z962" s="180" t="str">
        <f>CONCATENATE(X962,"-",Y962)</f>
        <v>08-Infraestructura física, mantenimiento y dotación (Sedes construidas, mantenidas reforzadas)</v>
      </c>
      <c r="AA962" s="174" t="s">
        <v>227</v>
      </c>
      <c r="AB962" s="172" t="str">
        <f>IFERROR(VLOOKUP(AA962,TD!$N$55:$O$70,2,0)," ")</f>
        <v>Sedes mantenidas</v>
      </c>
      <c r="AC962" s="180" t="str">
        <f>CONCATENATE(AA962,"_",AB962)</f>
        <v>016_Sedes mantenidas</v>
      </c>
      <c r="AD962" s="180" t="str">
        <f>CONCATENATE(Z962," ",AC962)</f>
        <v>08-Infraestructura física, mantenimiento y dotación (Sedes construidas, mantenidas reforzadas) 016_Sedes mantenidas</v>
      </c>
      <c r="AE962" s="179" t="str">
        <f>CONCATENATE(U962,V962,W962,X962,AA962)</f>
        <v>O23011745992024020708016</v>
      </c>
      <c r="AF962" s="172" t="str">
        <f>IFERROR(VLOOKUP(AD962,TD!$J$70:$K$93,2,0)," ")</f>
        <v>PM/0131/0108/45990160207</v>
      </c>
      <c r="AG962" s="130" t="s">
        <v>385</v>
      </c>
      <c r="AH962" s="181" t="s">
        <v>193</v>
      </c>
      <c r="AI962" s="184" t="str">
        <f>CONCATENATE(PAA[[#This Row],[Id Interno]],"-",PAA[[#This Row],[tipo de Contrato (TH talento humano - B/S bienes y/o servicios)]],"-",S962,"-",T962,"-",PAA[[#This Row],[Objeto de la contratación]])</f>
        <v>20261007-TH-8126-9--Prestación de servicios de apoyo a la gestión en la ejecución de los planes y programas de servicio al ciudadano a cargo de la Subdirección de Gestión Corporativa.-SGC</v>
      </c>
    </row>
    <row r="963" spans="2:35" ht="42" x14ac:dyDescent="0.35">
      <c r="B963" s="137">
        <v>20261008</v>
      </c>
      <c r="C963" s="117" t="s">
        <v>652</v>
      </c>
      <c r="D963" s="125" t="s">
        <v>105</v>
      </c>
      <c r="E963" s="125" t="s">
        <v>363</v>
      </c>
      <c r="F963" s="125" t="s">
        <v>144</v>
      </c>
      <c r="G963" s="126" t="s">
        <v>381</v>
      </c>
      <c r="H963" s="132">
        <v>4</v>
      </c>
      <c r="I963" s="132">
        <v>0</v>
      </c>
      <c r="J963" s="127">
        <v>20644348</v>
      </c>
      <c r="K963" s="128" t="s">
        <v>398</v>
      </c>
      <c r="L963" s="176" t="s">
        <v>155</v>
      </c>
      <c r="M963" s="174" t="s">
        <v>422</v>
      </c>
      <c r="N963" s="125" t="s">
        <v>197</v>
      </c>
      <c r="O963" s="174" t="s">
        <v>886</v>
      </c>
      <c r="P963" s="174" t="s">
        <v>348</v>
      </c>
      <c r="Q963" s="129" t="s">
        <v>725</v>
      </c>
      <c r="R963" s="174" t="s">
        <v>208</v>
      </c>
      <c r="S963" s="174" t="str">
        <f>MID(PAA[[#This Row],[Meta Proyecto de Inversión]],1,4)</f>
        <v>8126</v>
      </c>
      <c r="T963" s="174" t="str">
        <f>MID(PAA[[#This Row],[Meta Proyecto de Inversión]],6,2)</f>
        <v>9-</v>
      </c>
      <c r="U963" s="179" t="str">
        <f>IFERROR(VLOOKUP(N963,TD!$B$54:$F$58,2,0)," ")</f>
        <v>O230117</v>
      </c>
      <c r="V963" s="179" t="str">
        <f>IFERROR(VLOOKUP(N963,TD!$B$54:$F$58,3,0)," ")</f>
        <v>4599</v>
      </c>
      <c r="W963" s="179">
        <f>IFERROR(VLOOKUP(N963,TD!$B$54:$F$58,4,0)," ")</f>
        <v>20240207</v>
      </c>
      <c r="X963" s="174" t="s">
        <v>174</v>
      </c>
      <c r="Y963" s="172" t="str">
        <f>IFERROR(VLOOKUP(X963,TD!$J$55:$K$68,2,0)," ")</f>
        <v>Infraestructura física, mantenimiento y dotación (Sedes construidas, mantenidas reforzadas)</v>
      </c>
      <c r="Z963" s="180" t="str">
        <f>CONCATENATE(X963,"-",Y963)</f>
        <v>08-Infraestructura física, mantenimiento y dotación (Sedes construidas, mantenidas reforzadas)</v>
      </c>
      <c r="AA963" s="174" t="s">
        <v>227</v>
      </c>
      <c r="AB963" s="172" t="str">
        <f>IFERROR(VLOOKUP(AA963,TD!$N$55:$O$70,2,0)," ")</f>
        <v>Sedes mantenidas</v>
      </c>
      <c r="AC963" s="180" t="str">
        <f>CONCATENATE(AA963,"_",AB963)</f>
        <v>016_Sedes mantenidas</v>
      </c>
      <c r="AD963" s="180" t="str">
        <f>CONCATENATE(Z963," ",AC963)</f>
        <v>08-Infraestructura física, mantenimiento y dotación (Sedes construidas, mantenidas reforzadas) 016_Sedes mantenidas</v>
      </c>
      <c r="AE963" s="179" t="str">
        <f>CONCATENATE(U963,V963,W963,X963,AA963)</f>
        <v>O23011745992024020708016</v>
      </c>
      <c r="AF963" s="172" t="str">
        <f>IFERROR(VLOOKUP(AD963,TD!$J$70:$K$93,2,0)," ")</f>
        <v>PM/0131/0108/45990160207</v>
      </c>
      <c r="AG963" s="130" t="s">
        <v>385</v>
      </c>
      <c r="AH963" s="181" t="s">
        <v>193</v>
      </c>
      <c r="AI963" s="184" t="str">
        <f>CONCATENATE(PAA[[#This Row],[Id Interno]],"-",PAA[[#This Row],[tipo de Contrato (TH talento humano - B/S bienes y/o servicios)]],"-",S963,"-",T963,"-",PAA[[#This Row],[Objeto de la contratación]])</f>
        <v>20261008-TH-8126-9--Prestación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964" spans="2:35" ht="70" x14ac:dyDescent="0.35">
      <c r="B964" s="137">
        <v>20261009</v>
      </c>
      <c r="C964" s="117" t="s">
        <v>1244</v>
      </c>
      <c r="D964" s="125" t="s">
        <v>105</v>
      </c>
      <c r="E964" s="125" t="s">
        <v>363</v>
      </c>
      <c r="F964" s="125" t="s">
        <v>145</v>
      </c>
      <c r="G964" s="126" t="s">
        <v>381</v>
      </c>
      <c r="H964" s="132">
        <v>4</v>
      </c>
      <c r="I964" s="132">
        <v>0</v>
      </c>
      <c r="J964" s="127">
        <v>14745964</v>
      </c>
      <c r="K964" s="128" t="s">
        <v>398</v>
      </c>
      <c r="L964" s="176" t="s">
        <v>155</v>
      </c>
      <c r="M964" s="174" t="s">
        <v>422</v>
      </c>
      <c r="N964" s="125" t="s">
        <v>197</v>
      </c>
      <c r="O964" s="174" t="s">
        <v>886</v>
      </c>
      <c r="P964" s="174" t="s">
        <v>348</v>
      </c>
      <c r="Q964" s="129" t="s">
        <v>725</v>
      </c>
      <c r="R964" s="174" t="s">
        <v>208</v>
      </c>
      <c r="S964" s="174" t="str">
        <f>MID(PAA[[#This Row],[Meta Proyecto de Inversión]],1,4)</f>
        <v>8126</v>
      </c>
      <c r="T964" s="174" t="str">
        <f>MID(PAA[[#This Row],[Meta Proyecto de Inversión]],6,2)</f>
        <v>9-</v>
      </c>
      <c r="U964" s="179" t="str">
        <f>IFERROR(VLOOKUP(N964,TD!$B$54:$F$58,2,0)," ")</f>
        <v>O230117</v>
      </c>
      <c r="V964" s="179" t="str">
        <f>IFERROR(VLOOKUP(N964,TD!$B$54:$F$58,3,0)," ")</f>
        <v>4599</v>
      </c>
      <c r="W964" s="179">
        <f>IFERROR(VLOOKUP(N964,TD!$B$54:$F$58,4,0)," ")</f>
        <v>20240207</v>
      </c>
      <c r="X964" s="174" t="s">
        <v>174</v>
      </c>
      <c r="Y964" s="172" t="str">
        <f>IFERROR(VLOOKUP(X964,TD!$J$55:$K$68,2,0)," ")</f>
        <v>Infraestructura física, mantenimiento y dotación (Sedes construidas, mantenidas reforzadas)</v>
      </c>
      <c r="Z964" s="180" t="str">
        <f>CONCATENATE(X964,"-",Y964)</f>
        <v>08-Infraestructura física, mantenimiento y dotación (Sedes construidas, mantenidas reforzadas)</v>
      </c>
      <c r="AA964" s="174" t="s">
        <v>227</v>
      </c>
      <c r="AB964" s="172" t="str">
        <f>IFERROR(VLOOKUP(AA964,TD!$N$55:$O$70,2,0)," ")</f>
        <v>Sedes mantenidas</v>
      </c>
      <c r="AC964" s="180" t="str">
        <f>CONCATENATE(AA964,"_",AB964)</f>
        <v>016_Sedes mantenidas</v>
      </c>
      <c r="AD964" s="180" t="str">
        <f>CONCATENATE(Z964," ",AC964)</f>
        <v>08-Infraestructura física, mantenimiento y dotación (Sedes construidas, mantenidas reforzadas) 016_Sedes mantenidas</v>
      </c>
      <c r="AE964" s="179" t="str">
        <f>CONCATENATE(U964,V964,W964,X964,AA964)</f>
        <v>O23011745992024020708016</v>
      </c>
      <c r="AF964" s="172" t="str">
        <f>IFERROR(VLOOKUP(AD964,TD!$J$70:$K$93,2,0)," ")</f>
        <v>PM/0131/0108/45990160207</v>
      </c>
      <c r="AG964" s="130" t="s">
        <v>385</v>
      </c>
      <c r="AH964" s="181" t="s">
        <v>193</v>
      </c>
      <c r="AI964" s="184" t="str">
        <f>CONCATENATE(PAA[[#This Row],[Id Interno]],"-",PAA[[#This Row],[tipo de Contrato (TH talento humano - B/S bienes y/o servicios)]],"-",S964,"-",T964,"-",PAA[[#This Row],[Objeto de la contratación]])</f>
        <v>20261009-TH-8126-9--Prestación de servicios de apoyo a la gestión en la Subdirección de Gestión Corporativa, en las actividades asociadas a los procesos y procedimientos del almacén de la Entidad.- SGC</v>
      </c>
    </row>
    <row r="965" spans="2:35" ht="56" x14ac:dyDescent="0.35">
      <c r="B965" s="137">
        <v>20261010</v>
      </c>
      <c r="C965" s="117" t="s">
        <v>636</v>
      </c>
      <c r="D965" s="125" t="s">
        <v>105</v>
      </c>
      <c r="E965" s="125" t="s">
        <v>363</v>
      </c>
      <c r="F965" s="125" t="s">
        <v>144</v>
      </c>
      <c r="G965" s="126" t="s">
        <v>381</v>
      </c>
      <c r="H965" s="132">
        <v>4</v>
      </c>
      <c r="I965" s="132">
        <v>0</v>
      </c>
      <c r="J965" s="127">
        <v>20000000</v>
      </c>
      <c r="K965" s="128" t="s">
        <v>398</v>
      </c>
      <c r="L965" s="176" t="s">
        <v>155</v>
      </c>
      <c r="M965" s="174" t="s">
        <v>422</v>
      </c>
      <c r="N965" s="125" t="s">
        <v>198</v>
      </c>
      <c r="O965" s="174" t="s">
        <v>887</v>
      </c>
      <c r="P965" s="174" t="s">
        <v>348</v>
      </c>
      <c r="Q965" s="129" t="s">
        <v>725</v>
      </c>
      <c r="R965" s="174" t="s">
        <v>217</v>
      </c>
      <c r="S965" s="174" t="str">
        <f>MID(PAA[[#This Row],[Meta Proyecto de Inversión]],1,4)</f>
        <v>8173</v>
      </c>
      <c r="T965" s="174" t="str">
        <f>MID(PAA[[#This Row],[Meta Proyecto de Inversión]],6,2)</f>
        <v>8-</v>
      </c>
      <c r="U965" s="179" t="str">
        <f>IFERROR(VLOOKUP(N965,TD!$B$54:$F$58,2,0)," ")</f>
        <v>O230117</v>
      </c>
      <c r="V965" s="179" t="str">
        <f>IFERROR(VLOOKUP(N965,TD!$B$54:$F$58,3,0)," ")</f>
        <v>4503</v>
      </c>
      <c r="W965" s="179">
        <f>IFERROR(VLOOKUP(N965,TD!$B$54:$F$58,4,0)," ")</f>
        <v>20240255</v>
      </c>
      <c r="X965" s="174">
        <v>14</v>
      </c>
      <c r="Y965" s="172" t="str">
        <f>IFERROR(VLOOKUP(X965,TD!$J$55:$K$68,2,0)," ")</f>
        <v xml:space="preserve">Infraestructura física misional construida mantenida y dotada </v>
      </c>
      <c r="Z965" s="180" t="str">
        <f>CONCATENATE(X965,"-",Y965)</f>
        <v xml:space="preserve">14-Infraestructura física misional construida mantenida y dotada </v>
      </c>
      <c r="AA965" s="174" t="s">
        <v>226</v>
      </c>
      <c r="AB965" s="172" t="str">
        <f>IFERROR(VLOOKUP(AA965,TD!$N$55:$O$70,2,0)," ")</f>
        <v>Estaciones de bomberos construidas</v>
      </c>
      <c r="AC965" s="180" t="str">
        <f>CONCATENATE(AA965,"_",AB965)</f>
        <v>015_Estaciones de bomberos construidas</v>
      </c>
      <c r="AD965" s="180" t="str">
        <f>CONCATENATE(Z965," ",AC965)</f>
        <v>14-Infraestructura física misional construida mantenida y dotada  015_Estaciones de bomberos construidas</v>
      </c>
      <c r="AE965" s="179" t="str">
        <f>CONCATENATE(U965,V965,W965,X965,AA965)</f>
        <v>O23011745032024025514015</v>
      </c>
      <c r="AF965" s="172" t="str">
        <f>IFERROR(VLOOKUP(AD965,TD!$J$70:$K$93,2,0)," ")</f>
        <v>PM/0131/0114/45030150255</v>
      </c>
      <c r="AG965" s="130" t="s">
        <v>385</v>
      </c>
      <c r="AH965" s="181" t="s">
        <v>193</v>
      </c>
      <c r="AI965" s="184" t="str">
        <f>CONCATENATE(PAA[[#This Row],[Id Interno]],"-",PAA[[#This Row],[tipo de Contrato (TH talento humano - B/S bienes y/o servicios)]],"-",S965,"-",T965,"-",PAA[[#This Row],[Objeto de la contratación]])</f>
        <v>20261010-TH-8173-8--Prestar los servicios profesionales en las actividades asociadas del área de infraestructura que contribuyan para la implementación de procesos y procedimientos para la adecuada prestación del servicio-SGC.</v>
      </c>
    </row>
    <row r="966" spans="2:35" ht="56" x14ac:dyDescent="0.35">
      <c r="B966" s="137">
        <v>20261011</v>
      </c>
      <c r="C966" s="117" t="s">
        <v>644</v>
      </c>
      <c r="D966" s="125" t="s">
        <v>105</v>
      </c>
      <c r="E966" s="125" t="s">
        <v>363</v>
      </c>
      <c r="F966" s="125" t="s">
        <v>144</v>
      </c>
      <c r="G966" s="126" t="s">
        <v>381</v>
      </c>
      <c r="H966" s="132">
        <v>4</v>
      </c>
      <c r="I966" s="132">
        <v>0</v>
      </c>
      <c r="J966" s="127">
        <v>29491924</v>
      </c>
      <c r="K966" s="128" t="s">
        <v>398</v>
      </c>
      <c r="L966" s="176" t="s">
        <v>155</v>
      </c>
      <c r="M966" s="174" t="s">
        <v>422</v>
      </c>
      <c r="N966" s="125" t="s">
        <v>197</v>
      </c>
      <c r="O966" s="174" t="s">
        <v>886</v>
      </c>
      <c r="P966" s="174" t="s">
        <v>348</v>
      </c>
      <c r="Q966" s="129" t="s">
        <v>725</v>
      </c>
      <c r="R966" s="174" t="s">
        <v>208</v>
      </c>
      <c r="S966" s="174" t="str">
        <f>MID(PAA[[#This Row],[Meta Proyecto de Inversión]],1,4)</f>
        <v>8126</v>
      </c>
      <c r="T966" s="174" t="str">
        <f>MID(PAA[[#This Row],[Meta Proyecto de Inversión]],6,2)</f>
        <v>9-</v>
      </c>
      <c r="U966" s="179" t="str">
        <f>IFERROR(VLOOKUP(N966,TD!$B$54:$F$58,2,0)," ")</f>
        <v>O230117</v>
      </c>
      <c r="V966" s="179" t="str">
        <f>IFERROR(VLOOKUP(N966,TD!$B$54:$F$58,3,0)," ")</f>
        <v>4599</v>
      </c>
      <c r="W966" s="179">
        <f>IFERROR(VLOOKUP(N966,TD!$B$54:$F$58,4,0)," ")</f>
        <v>20240207</v>
      </c>
      <c r="X966" s="174" t="s">
        <v>174</v>
      </c>
      <c r="Y966" s="172" t="str">
        <f>IFERROR(VLOOKUP(X966,TD!$J$55:$K$68,2,0)," ")</f>
        <v>Infraestructura física, mantenimiento y dotación (Sedes construidas, mantenidas reforzadas)</v>
      </c>
      <c r="Z966" s="180" t="str">
        <f>CONCATENATE(X966,"-",Y966)</f>
        <v>08-Infraestructura física, mantenimiento y dotación (Sedes construidas, mantenidas reforzadas)</v>
      </c>
      <c r="AA966" s="174" t="s">
        <v>227</v>
      </c>
      <c r="AB966" s="172" t="str">
        <f>IFERROR(VLOOKUP(AA966,TD!$N$55:$O$70,2,0)," ")</f>
        <v>Sedes mantenidas</v>
      </c>
      <c r="AC966" s="180" t="str">
        <f>CONCATENATE(AA966,"_",AB966)</f>
        <v>016_Sedes mantenidas</v>
      </c>
      <c r="AD966" s="180" t="str">
        <f>CONCATENATE(Z966," ",AC966)</f>
        <v>08-Infraestructura física, mantenimiento y dotación (Sedes construidas, mantenidas reforzadas) 016_Sedes mantenidas</v>
      </c>
      <c r="AE966" s="179" t="str">
        <f>CONCATENATE(U966,V966,W966,X966,AA966)</f>
        <v>O23011745992024020708016</v>
      </c>
      <c r="AF966" s="172" t="str">
        <f>IFERROR(VLOOKUP(AD966,TD!$J$70:$K$93,2,0)," ")</f>
        <v>PM/0131/0108/45990160207</v>
      </c>
      <c r="AG966" s="130" t="s">
        <v>385</v>
      </c>
      <c r="AH966" s="181" t="s">
        <v>193</v>
      </c>
      <c r="AI966" s="184" t="str">
        <f>CONCATENATE(PAA[[#This Row],[Id Interno]],"-",PAA[[#This Row],[tipo de Contrato (TH talento humano - B/S bienes y/o servicios)]],"-",S966,"-",T966,"-",PAA[[#This Row],[Objeto de la contratación]])</f>
        <v>20261011-TH-8126-9--Prestación de servicios profesionales en la Subdirección de Gestión Corporativa en las actividades relacionadas con MIPG-SGC</v>
      </c>
    </row>
    <row r="967" spans="2:35" ht="42" x14ac:dyDescent="0.35">
      <c r="B967" s="137">
        <v>20261012</v>
      </c>
      <c r="C967" s="117" t="s">
        <v>1246</v>
      </c>
      <c r="D967" s="125" t="s">
        <v>105</v>
      </c>
      <c r="E967" s="125" t="s">
        <v>363</v>
      </c>
      <c r="F967" s="125" t="s">
        <v>144</v>
      </c>
      <c r="G967" s="126" t="s">
        <v>383</v>
      </c>
      <c r="H967" s="132">
        <v>1</v>
      </c>
      <c r="I967" s="132">
        <v>23</v>
      </c>
      <c r="J967" s="127">
        <v>12651370</v>
      </c>
      <c r="K967" s="128" t="s">
        <v>398</v>
      </c>
      <c r="L967" s="176" t="s">
        <v>151</v>
      </c>
      <c r="M967" s="174" t="s">
        <v>401</v>
      </c>
      <c r="N967" s="125" t="s">
        <v>197</v>
      </c>
      <c r="O967" s="174" t="s">
        <v>886</v>
      </c>
      <c r="P967" s="174" t="s">
        <v>348</v>
      </c>
      <c r="Q967" s="129">
        <v>80111600</v>
      </c>
      <c r="R967" s="174" t="s">
        <v>204</v>
      </c>
      <c r="S967" s="174" t="str">
        <f>MID(PAA[[#This Row],[Meta Proyecto de Inversión]],1,4)</f>
        <v>8126</v>
      </c>
      <c r="T967" s="174" t="str">
        <f>MID(PAA[[#This Row],[Meta Proyecto de Inversión]],6,2)</f>
        <v>5-</v>
      </c>
      <c r="U967" s="179" t="str">
        <f>IFERROR(VLOOKUP(N967,TD!$B$54:$F$58,2,0)," ")</f>
        <v>O230117</v>
      </c>
      <c r="V967" s="179" t="str">
        <f>IFERROR(VLOOKUP(N967,TD!$B$54:$F$58,3,0)," ")</f>
        <v>4599</v>
      </c>
      <c r="W967" s="179">
        <f>IFERROR(VLOOKUP(N967,TD!$B$54:$F$58,4,0)," ")</f>
        <v>20240207</v>
      </c>
      <c r="X967" s="174" t="s">
        <v>168</v>
      </c>
      <c r="Y967" s="172" t="str">
        <f>IFERROR(VLOOKUP(X967,TD!$J$55:$K$68,2,0)," ")</f>
        <v>Infraestructura Tecnológica   (Sistemas de Información y Tecnologia)</v>
      </c>
      <c r="Z967" s="180" t="str">
        <f>CONCATENATE(X967,"-",Y967)</f>
        <v>11-Infraestructura Tecnológica   (Sistemas de Información y Tecnologia)</v>
      </c>
      <c r="AA967" s="174" t="s">
        <v>228</v>
      </c>
      <c r="AB967" s="172" t="str">
        <f>IFERROR(VLOOKUP(AA967,TD!$N$55:$O$70,2,0)," ")</f>
        <v>Servicios tecnológicos</v>
      </c>
      <c r="AC967" s="180" t="str">
        <f>CONCATENATE(AA967,"_",AB967)</f>
        <v>007_Servicios tecnológicos</v>
      </c>
      <c r="AD967" s="180" t="str">
        <f>CONCATENATE(Z967," ",AC967)</f>
        <v>11-Infraestructura Tecnológica   (Sistemas de Información y Tecnologia) 007_Servicios tecnológicos</v>
      </c>
      <c r="AE967" s="179" t="str">
        <f>CONCATENATE(U967,V967,W967,X967,AA967)</f>
        <v>O23011745992024020711007</v>
      </c>
      <c r="AF967" s="172" t="str">
        <f>IFERROR(VLOOKUP(AD967,TD!$J$70:$K$93,2,0)," ")</f>
        <v>PM/0131/0111/45990070207</v>
      </c>
      <c r="AG967" s="130" t="s">
        <v>385</v>
      </c>
      <c r="AH967" s="181" t="s">
        <v>194</v>
      </c>
      <c r="AI967" s="184" t="str">
        <f>CONCATENATE(PAA[[#This Row],[Id Interno]],"-",PAA[[#This Row],[tipo de Contrato (TH talento humano - B/S bienes y/o servicios)]],"-",S967,"-",T967,"-",PAA[[#This Row],[Objeto de la contratación]])</f>
        <v>20261012-TH-8126-5--Adición y prórroga al contrato No. 01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68" spans="2:35" ht="84" x14ac:dyDescent="0.35">
      <c r="B968" s="137">
        <v>20261013</v>
      </c>
      <c r="C968" s="117" t="s">
        <v>1247</v>
      </c>
      <c r="D968" s="125" t="s">
        <v>105</v>
      </c>
      <c r="E968" s="125" t="s">
        <v>363</v>
      </c>
      <c r="F968" s="125" t="s">
        <v>144</v>
      </c>
      <c r="G968" s="126" t="s">
        <v>383</v>
      </c>
      <c r="H968" s="132">
        <v>1</v>
      </c>
      <c r="I968" s="132">
        <v>18</v>
      </c>
      <c r="J968" s="127">
        <v>11480000</v>
      </c>
      <c r="K968" s="128" t="s">
        <v>398</v>
      </c>
      <c r="L968" s="176" t="s">
        <v>151</v>
      </c>
      <c r="M968" s="174" t="s">
        <v>401</v>
      </c>
      <c r="N968" s="125" t="s">
        <v>197</v>
      </c>
      <c r="O968" s="174" t="s">
        <v>886</v>
      </c>
      <c r="P968" s="174" t="s">
        <v>348</v>
      </c>
      <c r="Q968" s="129">
        <v>80111600</v>
      </c>
      <c r="R968" s="174" t="s">
        <v>204</v>
      </c>
      <c r="S968" s="174" t="str">
        <f>MID(PAA[[#This Row],[Meta Proyecto de Inversión]],1,4)</f>
        <v>8126</v>
      </c>
      <c r="T968" s="174" t="str">
        <f>MID(PAA[[#This Row],[Meta Proyecto de Inversión]],6,2)</f>
        <v>5-</v>
      </c>
      <c r="U968" s="179" t="str">
        <f>IFERROR(VLOOKUP(N968,TD!$B$54:$F$58,2,0)," ")</f>
        <v>O230117</v>
      </c>
      <c r="V968" s="179" t="str">
        <f>IFERROR(VLOOKUP(N968,TD!$B$54:$F$58,3,0)," ")</f>
        <v>4599</v>
      </c>
      <c r="W968" s="179">
        <f>IFERROR(VLOOKUP(N968,TD!$B$54:$F$58,4,0)," ")</f>
        <v>20240207</v>
      </c>
      <c r="X968" s="174" t="s">
        <v>168</v>
      </c>
      <c r="Y968" s="172" t="str">
        <f>IFERROR(VLOOKUP(X968,TD!$J$55:$K$68,2,0)," ")</f>
        <v>Infraestructura Tecnológica   (Sistemas de Información y Tecnologia)</v>
      </c>
      <c r="Z968" s="180" t="str">
        <f>CONCATENATE(X968,"-",Y968)</f>
        <v>11-Infraestructura Tecnológica   (Sistemas de Información y Tecnologia)</v>
      </c>
      <c r="AA968" s="174" t="s">
        <v>228</v>
      </c>
      <c r="AB968" s="172" t="str">
        <f>IFERROR(VLOOKUP(AA968,TD!$N$55:$O$70,2,0)," ")</f>
        <v>Servicios tecnológicos</v>
      </c>
      <c r="AC968" s="180" t="str">
        <f>CONCATENATE(AA968,"_",AB968)</f>
        <v>007_Servicios tecnológicos</v>
      </c>
      <c r="AD968" s="180" t="str">
        <f>CONCATENATE(Z968," ",AC968)</f>
        <v>11-Infraestructura Tecnológica   (Sistemas de Información y Tecnologia) 007_Servicios tecnológicos</v>
      </c>
      <c r="AE968" s="179" t="str">
        <f>CONCATENATE(U968,V968,W968,X968,AA968)</f>
        <v>O23011745992024020711007</v>
      </c>
      <c r="AF968" s="172" t="str">
        <f>IFERROR(VLOOKUP(AD968,TD!$J$70:$K$93,2,0)," ")</f>
        <v>PM/0131/0111/45990070207</v>
      </c>
      <c r="AG968" s="130" t="s">
        <v>385</v>
      </c>
      <c r="AH968" s="181" t="s">
        <v>194</v>
      </c>
      <c r="AI968" s="184" t="str">
        <f>CONCATENATE(PAA[[#This Row],[Id Interno]],"-",PAA[[#This Row],[tipo de Contrato (TH talento humano - B/S bienes y/o servicios)]],"-",S968,"-",T968,"-",PAA[[#This Row],[Objeto de la contratación]])</f>
        <v>20261013-TH-8126-5--Adición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969" spans="2:35" ht="84" x14ac:dyDescent="0.35">
      <c r="B969" s="137">
        <v>20261014</v>
      </c>
      <c r="C969" s="117" t="s">
        <v>1248</v>
      </c>
      <c r="D969" s="125" t="s">
        <v>105</v>
      </c>
      <c r="E969" s="125" t="s">
        <v>363</v>
      </c>
      <c r="F969" s="125" t="s">
        <v>144</v>
      </c>
      <c r="G969" s="126" t="s">
        <v>383</v>
      </c>
      <c r="H969" s="132">
        <v>1</v>
      </c>
      <c r="I969" s="132">
        <v>3</v>
      </c>
      <c r="J969" s="127">
        <v>7800000</v>
      </c>
      <c r="K969" s="128" t="s">
        <v>398</v>
      </c>
      <c r="L969" s="176" t="s">
        <v>151</v>
      </c>
      <c r="M969" s="174" t="s">
        <v>401</v>
      </c>
      <c r="N969" s="125" t="s">
        <v>197</v>
      </c>
      <c r="O969" s="174" t="s">
        <v>886</v>
      </c>
      <c r="P969" s="174" t="s">
        <v>348</v>
      </c>
      <c r="Q969" s="129">
        <v>80111600</v>
      </c>
      <c r="R969" s="174" t="s">
        <v>205</v>
      </c>
      <c r="S969" s="174" t="str">
        <f>MID(PAA[[#This Row],[Meta Proyecto de Inversión]],1,4)</f>
        <v>8126</v>
      </c>
      <c r="T969" s="174" t="str">
        <f>MID(PAA[[#This Row],[Meta Proyecto de Inversión]],6,2)</f>
        <v>6-</v>
      </c>
      <c r="U969" s="179" t="str">
        <f>IFERROR(VLOOKUP(N969,TD!$B$54:$F$58,2,0)," ")</f>
        <v>O230117</v>
      </c>
      <c r="V969" s="179" t="str">
        <f>IFERROR(VLOOKUP(N969,TD!$B$54:$F$58,3,0)," ")</f>
        <v>4599</v>
      </c>
      <c r="W969" s="179">
        <f>IFERROR(VLOOKUP(N969,TD!$B$54:$F$58,4,0)," ")</f>
        <v>20240207</v>
      </c>
      <c r="X969" s="174" t="s">
        <v>168</v>
      </c>
      <c r="Y969" s="172" t="str">
        <f>IFERROR(VLOOKUP(X969,TD!$J$55:$K$68,2,0)," ")</f>
        <v>Infraestructura Tecnológica   (Sistemas de Información y Tecnologia)</v>
      </c>
      <c r="Z969" s="180" t="str">
        <f>CONCATENATE(X969,"-",Y969)</f>
        <v>11-Infraestructura Tecnológica   (Sistemas de Información y Tecnologia)</v>
      </c>
      <c r="AA969" s="174" t="s">
        <v>228</v>
      </c>
      <c r="AB969" s="172" t="str">
        <f>IFERROR(VLOOKUP(AA969,TD!$N$55:$O$70,2,0)," ")</f>
        <v>Servicios tecnológicos</v>
      </c>
      <c r="AC969" s="180" t="str">
        <f>CONCATENATE(AA969,"_",AB969)</f>
        <v>007_Servicios tecnológicos</v>
      </c>
      <c r="AD969" s="180" t="str">
        <f>CONCATENATE(Z969," ",AC969)</f>
        <v>11-Infraestructura Tecnológica   (Sistemas de Información y Tecnologia) 007_Servicios tecnológicos</v>
      </c>
      <c r="AE969" s="179" t="str">
        <f>CONCATENATE(U969,V969,W969,X969,AA969)</f>
        <v>O23011745992024020711007</v>
      </c>
      <c r="AF969" s="172" t="str">
        <f>IFERROR(VLOOKUP(AD969,TD!$J$70:$K$93,2,0)," ")</f>
        <v>PM/0131/0111/45990070207</v>
      </c>
      <c r="AG969" s="130" t="s">
        <v>385</v>
      </c>
      <c r="AH969" s="181" t="s">
        <v>194</v>
      </c>
      <c r="AI969" s="184" t="str">
        <f>CONCATENATE(PAA[[#This Row],[Id Interno]],"-",PAA[[#This Row],[tipo de Contrato (TH talento humano - B/S bienes y/o servicios)]],"-",S969,"-",T969,"-",PAA[[#This Row],[Objeto de la contratación]])</f>
        <v>20261014-TH-8126-6--Adición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v>
      </c>
    </row>
    <row r="970" spans="2:35" ht="70" x14ac:dyDescent="0.35">
      <c r="B970" s="137">
        <v>20261015</v>
      </c>
      <c r="C970" s="117" t="s">
        <v>1249</v>
      </c>
      <c r="D970" s="125" t="s">
        <v>105</v>
      </c>
      <c r="E970" s="125" t="s">
        <v>363</v>
      </c>
      <c r="F970" s="125" t="s">
        <v>145</v>
      </c>
      <c r="G970" s="126" t="s">
        <v>384</v>
      </c>
      <c r="H970" s="132">
        <v>0</v>
      </c>
      <c r="I970" s="132">
        <v>22</v>
      </c>
      <c r="J970" s="127">
        <v>2933333</v>
      </c>
      <c r="K970" s="128" t="s">
        <v>398</v>
      </c>
      <c r="L970" s="176" t="s">
        <v>151</v>
      </c>
      <c r="M970" s="174" t="s">
        <v>401</v>
      </c>
      <c r="N970" s="125" t="s">
        <v>197</v>
      </c>
      <c r="O970" s="174" t="s">
        <v>886</v>
      </c>
      <c r="P970" s="174" t="s">
        <v>348</v>
      </c>
      <c r="Q970" s="129">
        <v>80111600</v>
      </c>
      <c r="R970" s="174" t="s">
        <v>204</v>
      </c>
      <c r="S970" s="174" t="str">
        <f>MID(PAA[[#This Row],[Meta Proyecto de Inversión]],1,4)</f>
        <v>8126</v>
      </c>
      <c r="T970" s="174" t="str">
        <f>MID(PAA[[#This Row],[Meta Proyecto de Inversión]],6,2)</f>
        <v>5-</v>
      </c>
      <c r="U970" s="179" t="str">
        <f>IFERROR(VLOOKUP(N970,TD!$B$54:$F$58,2,0)," ")</f>
        <v>O230117</v>
      </c>
      <c r="V970" s="179" t="str">
        <f>IFERROR(VLOOKUP(N970,TD!$B$54:$F$58,3,0)," ")</f>
        <v>4599</v>
      </c>
      <c r="W970" s="179">
        <f>IFERROR(VLOOKUP(N970,TD!$B$54:$F$58,4,0)," ")</f>
        <v>20240207</v>
      </c>
      <c r="X970" s="174" t="s">
        <v>168</v>
      </c>
      <c r="Y970" s="172" t="str">
        <f>IFERROR(VLOOKUP(X970,TD!$J$55:$K$68,2,0)," ")</f>
        <v>Infraestructura Tecnológica   (Sistemas de Información y Tecnologia)</v>
      </c>
      <c r="Z970" s="180" t="str">
        <f>CONCATENATE(X970,"-",Y970)</f>
        <v>11-Infraestructura Tecnológica   (Sistemas de Información y Tecnologia)</v>
      </c>
      <c r="AA970" s="174" t="s">
        <v>228</v>
      </c>
      <c r="AB970" s="172" t="str">
        <f>IFERROR(VLOOKUP(AA970,TD!$N$55:$O$70,2,0)," ")</f>
        <v>Servicios tecnológicos</v>
      </c>
      <c r="AC970" s="180" t="str">
        <f>CONCATENATE(AA970,"_",AB970)</f>
        <v>007_Servicios tecnológicos</v>
      </c>
      <c r="AD970" s="180" t="str">
        <f>CONCATENATE(Z970," ",AC970)</f>
        <v>11-Infraestructura Tecnológica   (Sistemas de Información y Tecnologia) 007_Servicios tecnológicos</v>
      </c>
      <c r="AE970" s="179" t="str">
        <f>CONCATENATE(U970,V970,W970,X970,AA970)</f>
        <v>O23011745992024020711007</v>
      </c>
      <c r="AF970" s="172" t="str">
        <f>IFERROR(VLOOKUP(AD970,TD!$J$70:$K$93,2,0)," ")</f>
        <v>PM/0131/0111/45990070207</v>
      </c>
      <c r="AG970" s="130" t="s">
        <v>385</v>
      </c>
      <c r="AH970" s="181" t="s">
        <v>194</v>
      </c>
      <c r="AI970" s="184" t="str">
        <f>CONCATENATE(PAA[[#This Row],[Id Interno]],"-",PAA[[#This Row],[tipo de Contrato (TH talento humano - B/S bienes y/o servicios)]],"-",S970,"-",T970,"-",PAA[[#This Row],[Objeto de la contratación]])</f>
        <v>20261015-TH-8126-5--Adicion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v>
      </c>
    </row>
    <row r="971" spans="2:35" ht="70" x14ac:dyDescent="0.35">
      <c r="B971" s="137">
        <v>20261016</v>
      </c>
      <c r="C971" s="117" t="s">
        <v>1065</v>
      </c>
      <c r="D971" s="125" t="s">
        <v>105</v>
      </c>
      <c r="E971" s="125" t="s">
        <v>363</v>
      </c>
      <c r="F971" s="125" t="s">
        <v>144</v>
      </c>
      <c r="G971" s="126" t="s">
        <v>384</v>
      </c>
      <c r="H971" s="132">
        <v>0</v>
      </c>
      <c r="I971" s="132">
        <v>15</v>
      </c>
      <c r="J971" s="127">
        <v>4200000</v>
      </c>
      <c r="K971" s="128" t="s">
        <v>398</v>
      </c>
      <c r="L971" s="176" t="s">
        <v>151</v>
      </c>
      <c r="M971" s="174" t="s">
        <v>401</v>
      </c>
      <c r="N971" s="125" t="s">
        <v>197</v>
      </c>
      <c r="O971" s="174" t="s">
        <v>886</v>
      </c>
      <c r="P971" s="174" t="s">
        <v>348</v>
      </c>
      <c r="Q971" s="129">
        <v>80111600</v>
      </c>
      <c r="R971" s="174" t="s">
        <v>204</v>
      </c>
      <c r="S971" s="174" t="str">
        <f>MID(PAA[[#This Row],[Meta Proyecto de Inversión]],1,4)</f>
        <v>8126</v>
      </c>
      <c r="T971" s="174" t="str">
        <f>MID(PAA[[#This Row],[Meta Proyecto de Inversión]],6,2)</f>
        <v>5-</v>
      </c>
      <c r="U971" s="179" t="str">
        <f>IFERROR(VLOOKUP(N971,TD!$B$54:$F$58,2,0)," ")</f>
        <v>O230117</v>
      </c>
      <c r="V971" s="179" t="str">
        <f>IFERROR(VLOOKUP(N971,TD!$B$54:$F$58,3,0)," ")</f>
        <v>4599</v>
      </c>
      <c r="W971" s="179">
        <f>IFERROR(VLOOKUP(N971,TD!$B$54:$F$58,4,0)," ")</f>
        <v>20240207</v>
      </c>
      <c r="X971" s="174" t="s">
        <v>168</v>
      </c>
      <c r="Y971" s="172" t="str">
        <f>IFERROR(VLOOKUP(X971,TD!$J$55:$K$68,2,0)," ")</f>
        <v>Infraestructura Tecnológica   (Sistemas de Información y Tecnologia)</v>
      </c>
      <c r="Z971" s="180" t="str">
        <f>CONCATENATE(X971,"-",Y971)</f>
        <v>11-Infraestructura Tecnológica   (Sistemas de Información y Tecnologia)</v>
      </c>
      <c r="AA971" s="174" t="s">
        <v>228</v>
      </c>
      <c r="AB971" s="172" t="str">
        <f>IFERROR(VLOOKUP(AA971,TD!$N$55:$O$70,2,0)," ")</f>
        <v>Servicios tecnológicos</v>
      </c>
      <c r="AC971" s="180" t="str">
        <f>CONCATENATE(AA971,"_",AB971)</f>
        <v>007_Servicios tecnológicos</v>
      </c>
      <c r="AD971" s="180" t="str">
        <f>CONCATENATE(Z971," ",AC971)</f>
        <v>11-Infraestructura Tecnológica   (Sistemas de Información y Tecnologia) 007_Servicios tecnológicos</v>
      </c>
      <c r="AE971" s="179" t="str">
        <f>CONCATENATE(U971,V971,W971,X971,AA971)</f>
        <v>O23011745992024020711007</v>
      </c>
      <c r="AF971" s="172" t="str">
        <f>IFERROR(VLOOKUP(AD971,TD!$J$70:$K$93,2,0)," ")</f>
        <v>PM/0131/0111/45990070207</v>
      </c>
      <c r="AG971" s="130" t="s">
        <v>385</v>
      </c>
      <c r="AH971" s="181" t="s">
        <v>194</v>
      </c>
      <c r="AI971" s="184" t="str">
        <f>CONCATENATE(PAA[[#This Row],[Id Interno]],"-",PAA[[#This Row],[tipo de Contrato (TH talento humano - B/S bienes y/o servicios)]],"-",S971,"-",T971,"-",PAA[[#This Row],[Objeto de la contratación]])</f>
        <v>20261016-TH-8126-5--Adición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972" spans="2:35" ht="84" x14ac:dyDescent="0.35">
      <c r="B972" s="137">
        <v>20261017</v>
      </c>
      <c r="C972" s="117" t="s">
        <v>1250</v>
      </c>
      <c r="D972" s="125" t="s">
        <v>105</v>
      </c>
      <c r="E972" s="125" t="s">
        <v>363</v>
      </c>
      <c r="F972" s="125" t="s">
        <v>144</v>
      </c>
      <c r="G972" s="126" t="s">
        <v>383</v>
      </c>
      <c r="H972" s="132">
        <v>1</v>
      </c>
      <c r="I972" s="132">
        <v>0</v>
      </c>
      <c r="J972" s="127">
        <v>5500000</v>
      </c>
      <c r="K972" s="128" t="s">
        <v>398</v>
      </c>
      <c r="L972" s="176" t="s">
        <v>151</v>
      </c>
      <c r="M972" s="174" t="s">
        <v>401</v>
      </c>
      <c r="N972" s="125" t="s">
        <v>197</v>
      </c>
      <c r="O972" s="174" t="s">
        <v>886</v>
      </c>
      <c r="P972" s="174" t="s">
        <v>348</v>
      </c>
      <c r="Q972" s="129">
        <v>80111600</v>
      </c>
      <c r="R972" s="174" t="s">
        <v>205</v>
      </c>
      <c r="S972" s="174" t="str">
        <f>MID(PAA[[#This Row],[Meta Proyecto de Inversión]],1,4)</f>
        <v>8126</v>
      </c>
      <c r="T972" s="174" t="str">
        <f>MID(PAA[[#This Row],[Meta Proyecto de Inversión]],6,2)</f>
        <v>6-</v>
      </c>
      <c r="U972" s="179" t="str">
        <f>IFERROR(VLOOKUP(N972,TD!$B$54:$F$58,2,0)," ")</f>
        <v>O230117</v>
      </c>
      <c r="V972" s="179" t="str">
        <f>IFERROR(VLOOKUP(N972,TD!$B$54:$F$58,3,0)," ")</f>
        <v>4599</v>
      </c>
      <c r="W972" s="179">
        <f>IFERROR(VLOOKUP(N972,TD!$B$54:$F$58,4,0)," ")</f>
        <v>20240207</v>
      </c>
      <c r="X972" s="174" t="s">
        <v>168</v>
      </c>
      <c r="Y972" s="172" t="str">
        <f>IFERROR(VLOOKUP(X972,TD!$J$55:$K$68,2,0)," ")</f>
        <v>Infraestructura Tecnológica   (Sistemas de Información y Tecnologia)</v>
      </c>
      <c r="Z972" s="180" t="str">
        <f>CONCATENATE(X972,"-",Y972)</f>
        <v>11-Infraestructura Tecnológica   (Sistemas de Información y Tecnologia)</v>
      </c>
      <c r="AA972" s="174" t="s">
        <v>228</v>
      </c>
      <c r="AB972" s="172" t="str">
        <f>IFERROR(VLOOKUP(AA972,TD!$N$55:$O$70,2,0)," ")</f>
        <v>Servicios tecnológicos</v>
      </c>
      <c r="AC972" s="180" t="str">
        <f>CONCATENATE(AA972,"_",AB972)</f>
        <v>007_Servicios tecnológicos</v>
      </c>
      <c r="AD972" s="180" t="str">
        <f>CONCATENATE(Z972," ",AC972)</f>
        <v>11-Infraestructura Tecnológica   (Sistemas de Información y Tecnologia) 007_Servicios tecnológicos</v>
      </c>
      <c r="AE972" s="179" t="str">
        <f>CONCATENATE(U972,V972,W972,X972,AA972)</f>
        <v>O23011745992024020711007</v>
      </c>
      <c r="AF972" s="172" t="str">
        <f>IFERROR(VLOOKUP(AD972,TD!$J$70:$K$93,2,0)," ")</f>
        <v>PM/0131/0111/45990070207</v>
      </c>
      <c r="AG972" s="130" t="s">
        <v>385</v>
      </c>
      <c r="AH972" s="181" t="s">
        <v>194</v>
      </c>
      <c r="AI972" s="184" t="str">
        <f>CONCATENATE(PAA[[#This Row],[Id Interno]],"-",PAA[[#This Row],[tipo de Contrato (TH talento humano - B/S bienes y/o servicios)]],"-",S972,"-",T972,"-",PAA[[#This Row],[Objeto de la contratación]])</f>
        <v>20261017-TH-8126-6--Adición y prórroga No. 013 de 2026 cuyo objeto es: "Prestar servicios profesionales, en el levantamiento de requerimientos, análisis y mejora de soluciones digitales a cargo de la Dirección de Tecnologías de la Información y las Comunicaciones de la U.A.E Cuerpo Oficial de Bomberos de Bogotá D.C."</v>
      </c>
    </row>
    <row r="973" spans="2:35" ht="70" x14ac:dyDescent="0.35">
      <c r="B973" s="137">
        <v>20261018</v>
      </c>
      <c r="C973" s="117" t="s">
        <v>1251</v>
      </c>
      <c r="D973" s="125" t="s">
        <v>105</v>
      </c>
      <c r="E973" s="125" t="s">
        <v>363</v>
      </c>
      <c r="F973" s="125" t="s">
        <v>144</v>
      </c>
      <c r="G973" s="126" t="s">
        <v>383</v>
      </c>
      <c r="H973" s="132">
        <v>1</v>
      </c>
      <c r="I973" s="132">
        <v>0</v>
      </c>
      <c r="J973" s="127">
        <v>7500000</v>
      </c>
      <c r="K973" s="128" t="s">
        <v>398</v>
      </c>
      <c r="L973" s="176" t="s">
        <v>151</v>
      </c>
      <c r="M973" s="174" t="s">
        <v>401</v>
      </c>
      <c r="N973" s="125" t="s">
        <v>197</v>
      </c>
      <c r="O973" s="174" t="s">
        <v>886</v>
      </c>
      <c r="P973" s="174" t="s">
        <v>348</v>
      </c>
      <c r="Q973" s="129">
        <v>80111600</v>
      </c>
      <c r="R973" s="174" t="s">
        <v>205</v>
      </c>
      <c r="S973" s="174" t="str">
        <f>MID(PAA[[#This Row],[Meta Proyecto de Inversión]],1,4)</f>
        <v>8126</v>
      </c>
      <c r="T973" s="174" t="str">
        <f>MID(PAA[[#This Row],[Meta Proyecto de Inversión]],6,2)</f>
        <v>6-</v>
      </c>
      <c r="U973" s="179" t="str">
        <f>IFERROR(VLOOKUP(N973,TD!$B$54:$F$58,2,0)," ")</f>
        <v>O230117</v>
      </c>
      <c r="V973" s="179" t="str">
        <f>IFERROR(VLOOKUP(N973,TD!$B$54:$F$58,3,0)," ")</f>
        <v>4599</v>
      </c>
      <c r="W973" s="179">
        <f>IFERROR(VLOOKUP(N973,TD!$B$54:$F$58,4,0)," ")</f>
        <v>20240207</v>
      </c>
      <c r="X973" s="174" t="s">
        <v>168</v>
      </c>
      <c r="Y973" s="172" t="str">
        <f>IFERROR(VLOOKUP(X973,TD!$J$55:$K$68,2,0)," ")</f>
        <v>Infraestructura Tecnológica   (Sistemas de Información y Tecnologia)</v>
      </c>
      <c r="Z973" s="180" t="str">
        <f>CONCATENATE(X973,"-",Y973)</f>
        <v>11-Infraestructura Tecnológica   (Sistemas de Información y Tecnologia)</v>
      </c>
      <c r="AA973" s="174" t="s">
        <v>228</v>
      </c>
      <c r="AB973" s="172" t="str">
        <f>IFERROR(VLOOKUP(AA973,TD!$N$55:$O$70,2,0)," ")</f>
        <v>Servicios tecnológicos</v>
      </c>
      <c r="AC973" s="180" t="str">
        <f>CONCATENATE(AA973,"_",AB973)</f>
        <v>007_Servicios tecnológicos</v>
      </c>
      <c r="AD973" s="180" t="str">
        <f>CONCATENATE(Z973," ",AC973)</f>
        <v>11-Infraestructura Tecnológica   (Sistemas de Información y Tecnologia) 007_Servicios tecnológicos</v>
      </c>
      <c r="AE973" s="179" t="str">
        <f>CONCATENATE(U973,V973,W973,X973,AA973)</f>
        <v>O23011745992024020711007</v>
      </c>
      <c r="AF973" s="172" t="str">
        <f>IFERROR(VLOOKUP(AD973,TD!$J$70:$K$93,2,0)," ")</f>
        <v>PM/0131/0111/45990070207</v>
      </c>
      <c r="AG973" s="130" t="s">
        <v>385</v>
      </c>
      <c r="AH973" s="181" t="s">
        <v>194</v>
      </c>
      <c r="AI973" s="184" t="str">
        <f>CONCATENATE(PAA[[#This Row],[Id Interno]],"-",PAA[[#This Row],[tipo de Contrato (TH talento humano - B/S bienes y/o servicios)]],"-",S973,"-",T973,"-",PAA[[#This Row],[Objeto de la contratación]])</f>
        <v>20261018-TH-8126-6--Adición y prorroga al contrato No. 026 de 2026 cuyo objeto es "Prestar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974" spans="2:35" ht="98" x14ac:dyDescent="0.35">
      <c r="B974" s="137">
        <v>20261019</v>
      </c>
      <c r="C974" s="117" t="s">
        <v>1252</v>
      </c>
      <c r="D974" s="125" t="s">
        <v>105</v>
      </c>
      <c r="E974" s="125" t="s">
        <v>363</v>
      </c>
      <c r="F974" s="125" t="s">
        <v>144</v>
      </c>
      <c r="G974" s="126" t="s">
        <v>383</v>
      </c>
      <c r="H974" s="132">
        <v>1</v>
      </c>
      <c r="I974" s="132">
        <v>12</v>
      </c>
      <c r="J974" s="127">
        <v>7450000</v>
      </c>
      <c r="K974" s="128" t="s">
        <v>398</v>
      </c>
      <c r="L974" s="176" t="s">
        <v>151</v>
      </c>
      <c r="M974" s="174" t="s">
        <v>401</v>
      </c>
      <c r="N974" s="125" t="s">
        <v>197</v>
      </c>
      <c r="O974" s="174" t="s">
        <v>886</v>
      </c>
      <c r="P974" s="174" t="s">
        <v>348</v>
      </c>
      <c r="Q974" s="129">
        <v>80111600</v>
      </c>
      <c r="R974" s="174" t="s">
        <v>204</v>
      </c>
      <c r="S974" s="174" t="str">
        <f>MID(PAA[[#This Row],[Meta Proyecto de Inversión]],1,4)</f>
        <v>8126</v>
      </c>
      <c r="T974" s="174" t="str">
        <f>MID(PAA[[#This Row],[Meta Proyecto de Inversión]],6,2)</f>
        <v>5-</v>
      </c>
      <c r="U974" s="179" t="str">
        <f>IFERROR(VLOOKUP(N974,TD!$B$54:$F$58,2,0)," ")</f>
        <v>O230117</v>
      </c>
      <c r="V974" s="179" t="str">
        <f>IFERROR(VLOOKUP(N974,TD!$B$54:$F$58,3,0)," ")</f>
        <v>4599</v>
      </c>
      <c r="W974" s="179">
        <f>IFERROR(VLOOKUP(N974,TD!$B$54:$F$58,4,0)," ")</f>
        <v>20240207</v>
      </c>
      <c r="X974" s="174" t="s">
        <v>168</v>
      </c>
      <c r="Y974" s="172" t="str">
        <f>IFERROR(VLOOKUP(X974,TD!$J$55:$K$68,2,0)," ")</f>
        <v>Infraestructura Tecnológica   (Sistemas de Información y Tecnologia)</v>
      </c>
      <c r="Z974" s="180" t="str">
        <f>CONCATENATE(X974,"-",Y974)</f>
        <v>11-Infraestructura Tecnológica   (Sistemas de Información y Tecnologia)</v>
      </c>
      <c r="AA974" s="174" t="s">
        <v>228</v>
      </c>
      <c r="AB974" s="172" t="str">
        <f>IFERROR(VLOOKUP(AA974,TD!$N$55:$O$70,2,0)," ")</f>
        <v>Servicios tecnológicos</v>
      </c>
      <c r="AC974" s="180" t="str">
        <f>CONCATENATE(AA974,"_",AB974)</f>
        <v>007_Servicios tecnológicos</v>
      </c>
      <c r="AD974" s="180" t="str">
        <f>CONCATENATE(Z974," ",AC974)</f>
        <v>11-Infraestructura Tecnológica   (Sistemas de Información y Tecnologia) 007_Servicios tecnológicos</v>
      </c>
      <c r="AE974" s="179" t="str">
        <f>CONCATENATE(U974,V974,W974,X974,AA974)</f>
        <v>O23011745992024020711007</v>
      </c>
      <c r="AF974" s="172" t="str">
        <f>IFERROR(VLOOKUP(AD974,TD!$J$70:$K$93,2,0)," ")</f>
        <v>PM/0131/0111/45990070207</v>
      </c>
      <c r="AG974" s="130" t="s">
        <v>385</v>
      </c>
      <c r="AH974" s="181" t="s">
        <v>194</v>
      </c>
      <c r="AI974" s="184" t="str">
        <f>CONCATENATE(PAA[[#This Row],[Id Interno]],"-",PAA[[#This Row],[tipo de Contrato (TH talento humano - B/S bienes y/o servicios)]],"-",S974,"-",T974,"-",PAA[[#This Row],[Objeto de la contratación]])</f>
        <v>20261019-TH-8126-5--Adición y prórroga al contrato No. 037 de 2026 cuyo objeto es "Prestar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975" spans="2:35" ht="98" x14ac:dyDescent="0.35">
      <c r="B975" s="137">
        <v>20261020</v>
      </c>
      <c r="C975" s="117" t="s">
        <v>1330</v>
      </c>
      <c r="D975" s="125" t="s">
        <v>105</v>
      </c>
      <c r="E975" s="125" t="s">
        <v>402</v>
      </c>
      <c r="F975" s="125" t="s">
        <v>143</v>
      </c>
      <c r="G975" s="126" t="s">
        <v>382</v>
      </c>
      <c r="H975" s="132">
        <v>6</v>
      </c>
      <c r="I975" s="132">
        <v>0</v>
      </c>
      <c r="J975" s="127">
        <v>14940000</v>
      </c>
      <c r="K975" s="128" t="s">
        <v>398</v>
      </c>
      <c r="L975" s="176" t="s">
        <v>151</v>
      </c>
      <c r="M975" s="174" t="s">
        <v>401</v>
      </c>
      <c r="N975" s="125" t="s">
        <v>197</v>
      </c>
      <c r="O975" s="174" t="s">
        <v>886</v>
      </c>
      <c r="P975" s="174" t="s">
        <v>348</v>
      </c>
      <c r="Q975" s="129" t="s">
        <v>1331</v>
      </c>
      <c r="R975" s="174" t="s">
        <v>203</v>
      </c>
      <c r="S975" s="174" t="str">
        <f>MID(PAA[[#This Row],[Meta Proyecto de Inversión]],1,4)</f>
        <v>8126</v>
      </c>
      <c r="T975" s="174" t="str">
        <f>MID(PAA[[#This Row],[Meta Proyecto de Inversión]],6,2)</f>
        <v>4-</v>
      </c>
      <c r="U975" s="179" t="str">
        <f>IFERROR(VLOOKUP(N975,TD!$B$54:$F$58,2,0)," ")</f>
        <v>O230117</v>
      </c>
      <c r="V975" s="179" t="str">
        <f>IFERROR(VLOOKUP(N975,TD!$B$54:$F$58,3,0)," ")</f>
        <v>4599</v>
      </c>
      <c r="W975" s="179">
        <f>IFERROR(VLOOKUP(N975,TD!$B$54:$F$58,4,0)," ")</f>
        <v>20240207</v>
      </c>
      <c r="X975" s="174" t="s">
        <v>168</v>
      </c>
      <c r="Y975" s="172" t="str">
        <f>IFERROR(VLOOKUP(X975,TD!$J$55:$K$68,2,0)," ")</f>
        <v>Infraestructura Tecnológica   (Sistemas de Información y Tecnologia)</v>
      </c>
      <c r="Z975" s="180" t="str">
        <f>CONCATENATE(X975,"-",Y975)</f>
        <v>11-Infraestructura Tecnológica   (Sistemas de Información y Tecnologia)</v>
      </c>
      <c r="AA975" s="174" t="s">
        <v>228</v>
      </c>
      <c r="AB975" s="172" t="str">
        <f>IFERROR(VLOOKUP(AA975,TD!$N$55:$O$70,2,0)," ")</f>
        <v>Servicios tecnológicos</v>
      </c>
      <c r="AC975" s="180" t="str">
        <f>CONCATENATE(AA975,"_",AB975)</f>
        <v>007_Servicios tecnológicos</v>
      </c>
      <c r="AD975" s="180" t="str">
        <f>CONCATENATE(Z975," ",AC975)</f>
        <v>11-Infraestructura Tecnológica   (Sistemas de Información y Tecnologia) 007_Servicios tecnológicos</v>
      </c>
      <c r="AE975" s="179" t="str">
        <f>CONCATENATE(U975,V975,W975,X975,AA975)</f>
        <v>O23011745992024020711007</v>
      </c>
      <c r="AF975" s="172" t="str">
        <f>IFERROR(VLOOKUP(AD975,TD!$J$70:$K$93,2,0)," ")</f>
        <v>PM/0131/0111/45990070207</v>
      </c>
      <c r="AG975" s="130" t="s">
        <v>116</v>
      </c>
      <c r="AH975" s="181" t="s">
        <v>193</v>
      </c>
      <c r="AI975" s="184" t="str">
        <f>CONCATENATE(PAA[[#This Row],[Id Interno]],"-",PAA[[#This Row],[tipo de Contrato (TH talento humano - B/S bienes y/o servicios)]],"-",S975,"-",T975,"-",PAA[[#This Row],[Objeto de la contratación]])</f>
        <v>20261020-BS-8126-4--Contratar el servicio de mantenimiento para el sistema de atención de turnos de la U.A.E. Cuerpo Oficial de Bomberos de Bogotá - TIC</v>
      </c>
    </row>
    <row r="976" spans="2:35" ht="42" x14ac:dyDescent="0.35">
      <c r="B976" s="137">
        <v>20261021</v>
      </c>
      <c r="C976" s="117" t="s">
        <v>1253</v>
      </c>
      <c r="D976" s="125" t="s">
        <v>105</v>
      </c>
      <c r="E976" s="125" t="s">
        <v>363</v>
      </c>
      <c r="F976" s="125" t="s">
        <v>144</v>
      </c>
      <c r="G976" s="126" t="s">
        <v>382</v>
      </c>
      <c r="H976" s="132">
        <v>2</v>
      </c>
      <c r="I976" s="132">
        <v>0</v>
      </c>
      <c r="J976" s="127">
        <v>16500000</v>
      </c>
      <c r="K976" s="128" t="s">
        <v>398</v>
      </c>
      <c r="L976" s="176" t="s">
        <v>45</v>
      </c>
      <c r="M976" s="174" t="s">
        <v>401</v>
      </c>
      <c r="N976" s="125" t="s">
        <v>197</v>
      </c>
      <c r="O976" s="174" t="s">
        <v>886</v>
      </c>
      <c r="P976" s="174" t="s">
        <v>348</v>
      </c>
      <c r="Q976" s="129">
        <v>80111600</v>
      </c>
      <c r="R976" s="174" t="s">
        <v>208</v>
      </c>
      <c r="S976" s="174" t="str">
        <f>MID(PAA[[#This Row],[Meta Proyecto de Inversión]],1,4)</f>
        <v>8126</v>
      </c>
      <c r="T976" s="174" t="str">
        <f>MID(PAA[[#This Row],[Meta Proyecto de Inversión]],6,2)</f>
        <v>9-</v>
      </c>
      <c r="U976" s="179" t="str">
        <f>IFERROR(VLOOKUP(N976,TD!$B$54:$F$58,2,0)," ")</f>
        <v>O230117</v>
      </c>
      <c r="V976" s="179" t="str">
        <f>IFERROR(VLOOKUP(N976,TD!$B$54:$F$58,3,0)," ")</f>
        <v>4599</v>
      </c>
      <c r="W976" s="179">
        <f>IFERROR(VLOOKUP(N976,TD!$B$54:$F$58,4,0)," ")</f>
        <v>20240207</v>
      </c>
      <c r="X976" s="174" t="s">
        <v>174</v>
      </c>
      <c r="Y976" s="172" t="str">
        <f>IFERROR(VLOOKUP(X976,TD!$J$55:$K$68,2,0)," ")</f>
        <v>Infraestructura física, mantenimiento y dotación (Sedes construidas, mantenidas reforzadas)</v>
      </c>
      <c r="Z976" s="180" t="str">
        <f>CONCATENATE(X976,"-",Y976)</f>
        <v>08-Infraestructura física, mantenimiento y dotación (Sedes construidas, mantenidas reforzadas)</v>
      </c>
      <c r="AA976" s="174" t="s">
        <v>227</v>
      </c>
      <c r="AB976" s="172" t="str">
        <f>IFERROR(VLOOKUP(AA976,TD!$N$55:$O$70,2,0)," ")</f>
        <v>Sedes mantenidas</v>
      </c>
      <c r="AC976" s="180" t="str">
        <f>CONCATENATE(AA976,"_",AB976)</f>
        <v>016_Sedes mantenidas</v>
      </c>
      <c r="AD976" s="180" t="str">
        <f>CONCATENATE(Z976," ",AC976)</f>
        <v>08-Infraestructura física, mantenimiento y dotación (Sedes construidas, mantenidas reforzadas) 016_Sedes mantenidas</v>
      </c>
      <c r="AE976" s="179" t="str">
        <f>CONCATENATE(U976,V976,W976,X976,AA976)</f>
        <v>O23011745992024020708016</v>
      </c>
      <c r="AF976" s="172" t="str">
        <f>IFERROR(VLOOKUP(AD976,TD!$J$70:$K$93,2,0)," ")</f>
        <v>PM/0131/0108/45990160207</v>
      </c>
      <c r="AG976" s="130" t="s">
        <v>385</v>
      </c>
      <c r="AH976" s="181" t="s">
        <v>194</v>
      </c>
      <c r="AI976" s="184" t="str">
        <f>CONCATENATE(PAA[[#This Row],[Id Interno]],"-",PAA[[#This Row],[tipo de Contrato (TH talento humano - B/S bienes y/o servicios)]],"-",S976,"-",T976,"-",PAA[[#This Row],[Objeto de la contratación]])</f>
        <v>20261021-TH-8126-9--Adición y prórroga al Contrato 453 de 2026 con objeto: "Prestar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977" spans="2:35" ht="84" x14ac:dyDescent="0.35">
      <c r="B977" s="137">
        <v>20261022</v>
      </c>
      <c r="C977" s="117" t="s">
        <v>1254</v>
      </c>
      <c r="D977" s="125" t="s">
        <v>105</v>
      </c>
      <c r="E977" s="125" t="s">
        <v>363</v>
      </c>
      <c r="F977" s="125" t="s">
        <v>144</v>
      </c>
      <c r="G977" s="126" t="s">
        <v>382</v>
      </c>
      <c r="H977" s="132">
        <v>2</v>
      </c>
      <c r="I977" s="132">
        <v>0</v>
      </c>
      <c r="J977" s="127">
        <v>13600000</v>
      </c>
      <c r="K977" s="128" t="s">
        <v>398</v>
      </c>
      <c r="L977" s="176" t="s">
        <v>150</v>
      </c>
      <c r="M977" s="174" t="s">
        <v>401</v>
      </c>
      <c r="N977" s="125" t="s">
        <v>197</v>
      </c>
      <c r="O977" s="174" t="s">
        <v>886</v>
      </c>
      <c r="P977" s="174" t="s">
        <v>348</v>
      </c>
      <c r="Q977" s="129">
        <v>80111600</v>
      </c>
      <c r="R977" s="174" t="s">
        <v>209</v>
      </c>
      <c r="S977" s="174" t="str">
        <f>MID(PAA[[#This Row],[Meta Proyecto de Inversión]],1,4)</f>
        <v>8126</v>
      </c>
      <c r="T977" s="174" t="str">
        <f>MID(PAA[[#This Row],[Meta Proyecto de Inversión]],6,2)</f>
        <v>10</v>
      </c>
      <c r="U977" s="179" t="str">
        <f>IFERROR(VLOOKUP(N977,TD!$B$54:$F$58,2,0)," ")</f>
        <v>O230117</v>
      </c>
      <c r="V977" s="179" t="str">
        <f>IFERROR(VLOOKUP(N977,TD!$B$54:$F$58,3,0)," ")</f>
        <v>4599</v>
      </c>
      <c r="W977" s="179">
        <f>IFERROR(VLOOKUP(N977,TD!$B$54:$F$58,4,0)," ")</f>
        <v>20240207</v>
      </c>
      <c r="X977" s="174" t="s">
        <v>182</v>
      </c>
      <c r="Y977" s="172" t="str">
        <f>IFERROR(VLOOKUP(X977,TD!$J$55:$K$68,2,0)," ")</f>
        <v>Servicios para la planeación y sistemas de gestión y comunicación estratégica</v>
      </c>
      <c r="Z977" s="180" t="str">
        <f>CONCATENATE(X977,"-",Y977)</f>
        <v>13-Servicios para la planeación y sistemas de gestión y comunicación estratégica</v>
      </c>
      <c r="AA977" s="174" t="s">
        <v>231</v>
      </c>
      <c r="AB977" s="172" t="str">
        <f>IFERROR(VLOOKUP(AA977,TD!$N$55:$O$70,2,0)," ")</f>
        <v>Documentos de planeación</v>
      </c>
      <c r="AC977" s="180" t="str">
        <f>CONCATENATE(AA977,"_",AB977)</f>
        <v>019_Documentos de planeación</v>
      </c>
      <c r="AD977" s="180" t="str">
        <f>CONCATENATE(Z977," ",AC977)</f>
        <v>13-Servicios para la planeación y sistemas de gestión y comunicación estratégica 019_Documentos de planeación</v>
      </c>
      <c r="AE977" s="179" t="str">
        <f>CONCATENATE(U977,V977,W977,X977,AA977)</f>
        <v>O23011745992024020713019</v>
      </c>
      <c r="AF977" s="172" t="str">
        <f>IFERROR(VLOOKUP(AD977,TD!$J$70:$K$93,2,0)," ")</f>
        <v>PM/0131/0113/45990190207</v>
      </c>
      <c r="AG977" s="130" t="s">
        <v>385</v>
      </c>
      <c r="AH977" s="181" t="s">
        <v>193</v>
      </c>
      <c r="AI977" s="184" t="str">
        <f>CONCATENATE(PAA[[#This Row],[Id Interno]],"-",PAA[[#This Row],[tipo de Contrato (TH talento humano - B/S bienes y/o servicios)]],"-",S977,"-",T977,"-",PAA[[#This Row],[Objeto de la contratación]])</f>
        <v>20261022-TH-8126-10-Prestar servicios profesionales en asuntos de comunicaciones y prensa orientadas a contribuir en las necesidades de la Entidad y facilitar la inserción de nuevas estrategias de comunicación</v>
      </c>
    </row>
    <row r="978" spans="2:35" ht="70" x14ac:dyDescent="0.35">
      <c r="B978" s="137">
        <v>20261023</v>
      </c>
      <c r="C978" s="117" t="s">
        <v>1255</v>
      </c>
      <c r="D978" s="125" t="s">
        <v>105</v>
      </c>
      <c r="E978" s="125" t="s">
        <v>363</v>
      </c>
      <c r="F978" s="125" t="s">
        <v>144</v>
      </c>
      <c r="G978" s="126" t="s">
        <v>382</v>
      </c>
      <c r="H978" s="132">
        <v>2</v>
      </c>
      <c r="I978" s="132">
        <v>0</v>
      </c>
      <c r="J978" s="127">
        <v>16500000</v>
      </c>
      <c r="K978" s="128" t="s">
        <v>398</v>
      </c>
      <c r="L978" s="176" t="s">
        <v>45</v>
      </c>
      <c r="M978" s="174" t="s">
        <v>401</v>
      </c>
      <c r="N978" s="125" t="s">
        <v>197</v>
      </c>
      <c r="O978" s="174" t="s">
        <v>886</v>
      </c>
      <c r="P978" s="174" t="s">
        <v>348</v>
      </c>
      <c r="Q978" s="129">
        <v>80111600</v>
      </c>
      <c r="R978" s="174" t="s">
        <v>208</v>
      </c>
      <c r="S978" s="174" t="str">
        <f>MID(PAA[[#This Row],[Meta Proyecto de Inversión]],1,4)</f>
        <v>8126</v>
      </c>
      <c r="T978" s="174" t="str">
        <f>MID(PAA[[#This Row],[Meta Proyecto de Inversión]],6,2)</f>
        <v>9-</v>
      </c>
      <c r="U978" s="179" t="str">
        <f>IFERROR(VLOOKUP(N978,TD!$B$54:$F$58,2,0)," ")</f>
        <v>O230117</v>
      </c>
      <c r="V978" s="179" t="str">
        <f>IFERROR(VLOOKUP(N978,TD!$B$54:$F$58,3,0)," ")</f>
        <v>4599</v>
      </c>
      <c r="W978" s="179">
        <f>IFERROR(VLOOKUP(N978,TD!$B$54:$F$58,4,0)," ")</f>
        <v>20240207</v>
      </c>
      <c r="X978" s="174" t="s">
        <v>174</v>
      </c>
      <c r="Y978" s="172" t="str">
        <f>IFERROR(VLOOKUP(X978,TD!$J$55:$K$68,2,0)," ")</f>
        <v>Infraestructura física, mantenimiento y dotación (Sedes construidas, mantenidas reforzadas)</v>
      </c>
      <c r="Z978" s="180" t="str">
        <f>CONCATENATE(X978,"-",Y978)</f>
        <v>08-Infraestructura física, mantenimiento y dotación (Sedes construidas, mantenidas reforzadas)</v>
      </c>
      <c r="AA978" s="174" t="s">
        <v>227</v>
      </c>
      <c r="AB978" s="172" t="str">
        <f>IFERROR(VLOOKUP(AA978,TD!$N$55:$O$70,2,0)," ")</f>
        <v>Sedes mantenidas</v>
      </c>
      <c r="AC978" s="180" t="str">
        <f>CONCATENATE(AA978,"_",AB978)</f>
        <v>016_Sedes mantenidas</v>
      </c>
      <c r="AD978" s="180" t="str">
        <f>CONCATENATE(Z978," ",AC978)</f>
        <v>08-Infraestructura física, mantenimiento y dotación (Sedes construidas, mantenidas reforzadas) 016_Sedes mantenidas</v>
      </c>
      <c r="AE978" s="179" t="str">
        <f>CONCATENATE(U978,V978,W978,X978,AA978)</f>
        <v>O23011745992024020708016</v>
      </c>
      <c r="AF978" s="172" t="str">
        <f>IFERROR(VLOOKUP(AD978,TD!$J$70:$K$93,2,0)," ")</f>
        <v>PM/0131/0108/45990160207</v>
      </c>
      <c r="AG978" s="130" t="s">
        <v>385</v>
      </c>
      <c r="AH978" s="181" t="s">
        <v>193</v>
      </c>
      <c r="AI978" s="184" t="str">
        <f>CONCATENATE(PAA[[#This Row],[Id Interno]],"-",PAA[[#This Row],[tipo de Contrato (TH talento humano - B/S bienes y/o servicios)]],"-",S978,"-",T978,"-",PAA[[#This Row],[Objeto de la contratación]])</f>
        <v>20261023-TH-8126-9--Prestar servicios profesionales jurídicos en la Dirección General de la UAECOB, para apoyar la gestión, revisión y seguimiento de temas de la dirección, contratación y estratégicos de la misionalidad de la Entidad</v>
      </c>
    </row>
    <row r="979" spans="2:35" ht="56" x14ac:dyDescent="0.35">
      <c r="B979" s="146">
        <v>20261024</v>
      </c>
      <c r="C979" s="117" t="s">
        <v>1256</v>
      </c>
      <c r="D979" s="117" t="s">
        <v>105</v>
      </c>
      <c r="E979" s="117" t="s">
        <v>363</v>
      </c>
      <c r="F979" s="117" t="s">
        <v>144</v>
      </c>
      <c r="G979" s="126" t="s">
        <v>383</v>
      </c>
      <c r="H979" s="147">
        <v>1</v>
      </c>
      <c r="I979" s="147">
        <v>0</v>
      </c>
      <c r="J979" s="130">
        <v>6000000</v>
      </c>
      <c r="K979" s="148" t="s">
        <v>398</v>
      </c>
      <c r="L979" s="177" t="s">
        <v>154</v>
      </c>
      <c r="M979" s="186" t="s">
        <v>438</v>
      </c>
      <c r="N979" s="117" t="s">
        <v>198</v>
      </c>
      <c r="O979" s="186" t="s">
        <v>887</v>
      </c>
      <c r="P979" s="186" t="s">
        <v>348</v>
      </c>
      <c r="Q979" s="149">
        <v>80111600</v>
      </c>
      <c r="R979" s="186" t="s">
        <v>218</v>
      </c>
      <c r="S979" s="174" t="str">
        <f>MID(PAA[[#This Row],[Meta Proyecto de Inversión]],1,4)</f>
        <v>8173</v>
      </c>
      <c r="T979" s="174" t="str">
        <f>MID(PAA[[#This Row],[Meta Proyecto de Inversión]],6,2)</f>
        <v>9-</v>
      </c>
      <c r="U979" s="187" t="str">
        <f>IFERROR(VLOOKUP(N979,TD!$B$54:$F$58,2,0)," ")</f>
        <v>O230117</v>
      </c>
      <c r="V979" s="187" t="str">
        <f>IFERROR(VLOOKUP(N979,TD!$B$54:$F$58,3,0)," ")</f>
        <v>4503</v>
      </c>
      <c r="W979" s="187">
        <f>IFERROR(VLOOKUP(N979,TD!$B$54:$F$58,4,0)," ")</f>
        <v>20240255</v>
      </c>
      <c r="X979" s="186" t="s">
        <v>172</v>
      </c>
      <c r="Y979" s="172" t="str">
        <f>IFERROR(VLOOKUP(X979,TD!$J$55:$K$68,2,0)," ")</f>
        <v>Servicio de formación en gestión del riesgo de incendios para el personal UAECOB</v>
      </c>
      <c r="Z979" s="180" t="str">
        <f>CONCATENATE(X979,"-",Y979)</f>
        <v>07-Servicio de formación en gestión del riesgo de incendios para el personal UAECOB</v>
      </c>
      <c r="AA979" s="186" t="s">
        <v>222</v>
      </c>
      <c r="AB979" s="172" t="str">
        <f>IFERROR(VLOOKUP(AA979,TD!$N$55:$O$70,2,0)," ")</f>
        <v>Servicio de educación informal</v>
      </c>
      <c r="AC979" s="180" t="str">
        <f>CONCATENATE(AA979,"_",AB979)</f>
        <v>002_Servicio de educación informal</v>
      </c>
      <c r="AD979" s="180" t="str">
        <f>CONCATENATE(Z979," ",AC979)</f>
        <v>07-Servicio de formación en gestión del riesgo de incendios para el personal UAECOB 002_Servicio de educación informal</v>
      </c>
      <c r="AE979" s="187" t="str">
        <f>CONCATENATE(U979,V979,W979,X979,AA979)</f>
        <v>O23011745032024025507002</v>
      </c>
      <c r="AF979" s="172" t="str">
        <f>IFERROR(VLOOKUP(AD979,TD!$J$70:$K$93,2,0)," ")</f>
        <v>PM/0131/0107/45030020255</v>
      </c>
      <c r="AG979" s="130" t="s">
        <v>385</v>
      </c>
      <c r="AH979" s="188" t="s">
        <v>194</v>
      </c>
      <c r="AI979" s="184" t="str">
        <f>CONCATENATE(PAA[[#This Row],[Id Interno]],"-",PAA[[#This Row],[tipo de Contrato (TH talento humano - B/S bienes y/o servicios)]],"-",S979,"-",T979,"-",PAA[[#This Row],[Objeto de la contratación]])</f>
        <v>20261024-TH-8173-9--Adición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80" spans="2:35" ht="98" x14ac:dyDescent="0.35">
      <c r="B980" s="146">
        <v>20261025</v>
      </c>
      <c r="C980" s="117" t="s">
        <v>1314</v>
      </c>
      <c r="D980" s="117" t="s">
        <v>105</v>
      </c>
      <c r="E980" s="117" t="s">
        <v>363</v>
      </c>
      <c r="F980" s="117" t="s">
        <v>144</v>
      </c>
      <c r="G980" s="126" t="s">
        <v>383</v>
      </c>
      <c r="H980" s="147">
        <v>1</v>
      </c>
      <c r="I980" s="147">
        <v>0</v>
      </c>
      <c r="J980" s="130">
        <v>6000000</v>
      </c>
      <c r="K980" s="148" t="s">
        <v>398</v>
      </c>
      <c r="L980" s="177" t="s">
        <v>154</v>
      </c>
      <c r="M980" s="186" t="s">
        <v>438</v>
      </c>
      <c r="N980" s="117" t="s">
        <v>198</v>
      </c>
      <c r="O980" s="186" t="s">
        <v>887</v>
      </c>
      <c r="P980" s="186" t="s">
        <v>348</v>
      </c>
      <c r="Q980" s="149">
        <v>80111600</v>
      </c>
      <c r="R980" s="186" t="s">
        <v>218</v>
      </c>
      <c r="S980" s="174" t="str">
        <f>MID(PAA[[#This Row],[Meta Proyecto de Inversión]],1,4)</f>
        <v>8173</v>
      </c>
      <c r="T980" s="174" t="str">
        <f>MID(PAA[[#This Row],[Meta Proyecto de Inversión]],6,2)</f>
        <v>9-</v>
      </c>
      <c r="U980" s="187" t="str">
        <f>IFERROR(VLOOKUP(N980,TD!$B$54:$F$58,2,0)," ")</f>
        <v>O230117</v>
      </c>
      <c r="V980" s="187" t="str">
        <f>IFERROR(VLOOKUP(N980,TD!$B$54:$F$58,3,0)," ")</f>
        <v>4503</v>
      </c>
      <c r="W980" s="187">
        <f>IFERROR(VLOOKUP(N980,TD!$B$54:$F$58,4,0)," ")</f>
        <v>20240255</v>
      </c>
      <c r="X980" s="186" t="s">
        <v>172</v>
      </c>
      <c r="Y980" s="172" t="str">
        <f>IFERROR(VLOOKUP(X980,TD!$J$55:$K$68,2,0)," ")</f>
        <v>Servicio de formación en gestión del riesgo de incendios para el personal UAECOB</v>
      </c>
      <c r="Z980" s="180" t="str">
        <f>CONCATENATE(X980,"-",Y980)</f>
        <v>07-Servicio de formación en gestión del riesgo de incendios para el personal UAECOB</v>
      </c>
      <c r="AA980" s="186" t="s">
        <v>222</v>
      </c>
      <c r="AB980" s="172" t="str">
        <f>IFERROR(VLOOKUP(AA980,TD!$N$55:$O$70,2,0)," ")</f>
        <v>Servicio de educación informal</v>
      </c>
      <c r="AC980" s="180" t="str">
        <f>CONCATENATE(AA980,"_",AB980)</f>
        <v>002_Servicio de educación informal</v>
      </c>
      <c r="AD980" s="180" t="str">
        <f>CONCATENATE(Z980," ",AC980)</f>
        <v>07-Servicio de formación en gestión del riesgo de incendios para el personal UAECOB 002_Servicio de educación informal</v>
      </c>
      <c r="AE980" s="187" t="str">
        <f>CONCATENATE(U980,V980,W980,X980,AA980)</f>
        <v>O23011745032024025507002</v>
      </c>
      <c r="AF980" s="172" t="str">
        <f>IFERROR(VLOOKUP(AD980,TD!$J$70:$K$93,2,0)," ")</f>
        <v>PM/0131/0107/45030020255</v>
      </c>
      <c r="AG980" s="130" t="s">
        <v>385</v>
      </c>
      <c r="AH980" s="188" t="s">
        <v>194</v>
      </c>
      <c r="AI980" s="184" t="str">
        <f>CONCATENATE(PAA[[#This Row],[Id Interno]],"-",PAA[[#This Row],[tipo de Contrato (TH talento humano - B/S bienes y/o servicios)]],"-",S980,"-",T980,"-",PAA[[#This Row],[Objeto de la contratación]])</f>
        <v>20261025-TH-8173-9--Adición y prorroga Cto 562-26 cuyo objeto es "SGH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81" spans="2:35" ht="98" x14ac:dyDescent="0.35">
      <c r="B981" s="146">
        <v>20261026</v>
      </c>
      <c r="C981" s="117" t="s">
        <v>1315</v>
      </c>
      <c r="D981" s="117" t="s">
        <v>105</v>
      </c>
      <c r="E981" s="117" t="s">
        <v>363</v>
      </c>
      <c r="F981" s="117" t="s">
        <v>144</v>
      </c>
      <c r="G981" s="126" t="s">
        <v>383</v>
      </c>
      <c r="H981" s="147">
        <v>1</v>
      </c>
      <c r="I981" s="147">
        <v>0</v>
      </c>
      <c r="J981" s="130">
        <v>5200000</v>
      </c>
      <c r="K981" s="148" t="s">
        <v>398</v>
      </c>
      <c r="L981" s="177" t="s">
        <v>154</v>
      </c>
      <c r="M981" s="186" t="s">
        <v>438</v>
      </c>
      <c r="N981" s="117" t="s">
        <v>198</v>
      </c>
      <c r="O981" s="186" t="s">
        <v>887</v>
      </c>
      <c r="P981" s="186" t="s">
        <v>348</v>
      </c>
      <c r="Q981" s="149">
        <v>80111600</v>
      </c>
      <c r="R981" s="186" t="s">
        <v>218</v>
      </c>
      <c r="S981" s="174" t="str">
        <f>MID(PAA[[#This Row],[Meta Proyecto de Inversión]],1,4)</f>
        <v>8173</v>
      </c>
      <c r="T981" s="174" t="str">
        <f>MID(PAA[[#This Row],[Meta Proyecto de Inversión]],6,2)</f>
        <v>9-</v>
      </c>
      <c r="U981" s="187" t="str">
        <f>IFERROR(VLOOKUP(N981,TD!$B$54:$F$58,2,0)," ")</f>
        <v>O230117</v>
      </c>
      <c r="V981" s="187" t="str">
        <f>IFERROR(VLOOKUP(N981,TD!$B$54:$F$58,3,0)," ")</f>
        <v>4503</v>
      </c>
      <c r="W981" s="187">
        <f>IFERROR(VLOOKUP(N981,TD!$B$54:$F$58,4,0)," ")</f>
        <v>20240255</v>
      </c>
      <c r="X981" s="186" t="s">
        <v>172</v>
      </c>
      <c r="Y981" s="172" t="str">
        <f>IFERROR(VLOOKUP(X981,TD!$J$55:$K$68,2,0)," ")</f>
        <v>Servicio de formación en gestión del riesgo de incendios para el personal UAECOB</v>
      </c>
      <c r="Z981" s="180" t="str">
        <f>CONCATENATE(X981,"-",Y981)</f>
        <v>07-Servicio de formación en gestión del riesgo de incendios para el personal UAECOB</v>
      </c>
      <c r="AA981" s="186" t="s">
        <v>222</v>
      </c>
      <c r="AB981" s="172" t="str">
        <f>IFERROR(VLOOKUP(AA981,TD!$N$55:$O$70,2,0)," ")</f>
        <v>Servicio de educación informal</v>
      </c>
      <c r="AC981" s="180" t="str">
        <f>CONCATENATE(AA981,"_",AB981)</f>
        <v>002_Servicio de educación informal</v>
      </c>
      <c r="AD981" s="180" t="str">
        <f>CONCATENATE(Z981," ",AC981)</f>
        <v>07-Servicio de formación en gestión del riesgo de incendios para el personal UAECOB 002_Servicio de educación informal</v>
      </c>
      <c r="AE981" s="187" t="str">
        <f>CONCATENATE(U981,V981,W981,X981,AA981)</f>
        <v>O23011745032024025507002</v>
      </c>
      <c r="AF981" s="172" t="str">
        <f>IFERROR(VLOOKUP(AD981,TD!$J$70:$K$93,2,0)," ")</f>
        <v>PM/0131/0107/45030020255</v>
      </c>
      <c r="AG981" s="130" t="s">
        <v>385</v>
      </c>
      <c r="AH981" s="188" t="s">
        <v>194</v>
      </c>
      <c r="AI981" s="184" t="str">
        <f>CONCATENATE(PAA[[#This Row],[Id Interno]],"-",PAA[[#This Row],[tipo de Contrato (TH talento humano - B/S bienes y/o servicios)]],"-",S981,"-",T981,"-",PAA[[#This Row],[Objeto de la contratación]])</f>
        <v>20261026-TH-8173-9--Adición y prorroga Cto 590-26 cuyo objeto es "SGH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82" spans="2:35" ht="112" x14ac:dyDescent="0.35">
      <c r="B982" s="146">
        <v>20261027</v>
      </c>
      <c r="C982" s="117" t="s">
        <v>1257</v>
      </c>
      <c r="D982" s="117" t="s">
        <v>105</v>
      </c>
      <c r="E982" s="117" t="s">
        <v>363</v>
      </c>
      <c r="F982" s="117" t="s">
        <v>144</v>
      </c>
      <c r="G982" s="126" t="s">
        <v>383</v>
      </c>
      <c r="H982" s="147">
        <v>1</v>
      </c>
      <c r="I982" s="147">
        <v>0</v>
      </c>
      <c r="J982" s="130">
        <v>5900000</v>
      </c>
      <c r="K982" s="148" t="s">
        <v>398</v>
      </c>
      <c r="L982" s="177" t="s">
        <v>154</v>
      </c>
      <c r="M982" s="186" t="s">
        <v>438</v>
      </c>
      <c r="N982" s="117" t="s">
        <v>198</v>
      </c>
      <c r="O982" s="186" t="s">
        <v>887</v>
      </c>
      <c r="P982" s="186" t="s">
        <v>348</v>
      </c>
      <c r="Q982" s="149">
        <v>80111600</v>
      </c>
      <c r="R982" s="186" t="s">
        <v>218</v>
      </c>
      <c r="S982" s="174" t="str">
        <f>MID(PAA[[#This Row],[Meta Proyecto de Inversión]],1,4)</f>
        <v>8173</v>
      </c>
      <c r="T982" s="174" t="str">
        <f>MID(PAA[[#This Row],[Meta Proyecto de Inversión]],6,2)</f>
        <v>9-</v>
      </c>
      <c r="U982" s="187" t="str">
        <f>IFERROR(VLOOKUP(N982,TD!$B$54:$F$58,2,0)," ")</f>
        <v>O230117</v>
      </c>
      <c r="V982" s="187" t="str">
        <f>IFERROR(VLOOKUP(N982,TD!$B$54:$F$58,3,0)," ")</f>
        <v>4503</v>
      </c>
      <c r="W982" s="187">
        <f>IFERROR(VLOOKUP(N982,TD!$B$54:$F$58,4,0)," ")</f>
        <v>20240255</v>
      </c>
      <c r="X982" s="186" t="s">
        <v>172</v>
      </c>
      <c r="Y982" s="172" t="str">
        <f>IFERROR(VLOOKUP(X982,TD!$J$55:$K$68,2,0)," ")</f>
        <v>Servicio de formación en gestión del riesgo de incendios para el personal UAECOB</v>
      </c>
      <c r="Z982" s="180" t="str">
        <f>CONCATENATE(X982,"-",Y982)</f>
        <v>07-Servicio de formación en gestión del riesgo de incendios para el personal UAECOB</v>
      </c>
      <c r="AA982" s="186" t="s">
        <v>222</v>
      </c>
      <c r="AB982" s="172" t="str">
        <f>IFERROR(VLOOKUP(AA982,TD!$N$55:$O$70,2,0)," ")</f>
        <v>Servicio de educación informal</v>
      </c>
      <c r="AC982" s="180" t="str">
        <f>CONCATENATE(AA982,"_",AB982)</f>
        <v>002_Servicio de educación informal</v>
      </c>
      <c r="AD982" s="180" t="str">
        <f>CONCATENATE(Z982," ",AC982)</f>
        <v>07-Servicio de formación en gestión del riesgo de incendios para el personal UAECOB 002_Servicio de educación informal</v>
      </c>
      <c r="AE982" s="187" t="str">
        <f>CONCATENATE(U982,V982,W982,X982,AA982)</f>
        <v>O23011745032024025507002</v>
      </c>
      <c r="AF982" s="172" t="str">
        <f>IFERROR(VLOOKUP(AD982,TD!$J$70:$K$93,2,0)," ")</f>
        <v>PM/0131/0107/45030020255</v>
      </c>
      <c r="AG982" s="130" t="s">
        <v>385</v>
      </c>
      <c r="AH982" s="188" t="s">
        <v>194</v>
      </c>
      <c r="AI982" s="184" t="str">
        <f>CONCATENATE(PAA[[#This Row],[Id Interno]],"-",PAA[[#This Row],[tipo de Contrato (TH talento humano - B/S bienes y/o servicios)]],"-",S982,"-",T982,"-",PAA[[#This Row],[Objeto de la contratación]])</f>
        <v>20261027-TH-8173-9--Adición y prorroga Cto 514-26 cuyo objeto es "SGH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983" spans="2:35" ht="84" x14ac:dyDescent="0.35">
      <c r="B983" s="146">
        <v>20261028</v>
      </c>
      <c r="C983" s="117" t="s">
        <v>1258</v>
      </c>
      <c r="D983" s="117" t="s">
        <v>105</v>
      </c>
      <c r="E983" s="117" t="s">
        <v>363</v>
      </c>
      <c r="F983" s="117" t="s">
        <v>144</v>
      </c>
      <c r="G983" s="126" t="s">
        <v>383</v>
      </c>
      <c r="H983" s="147">
        <v>2</v>
      </c>
      <c r="I983" s="147">
        <v>0</v>
      </c>
      <c r="J983" s="130">
        <v>13400000</v>
      </c>
      <c r="K983" s="148" t="s">
        <v>398</v>
      </c>
      <c r="L983" s="177" t="s">
        <v>154</v>
      </c>
      <c r="M983" s="186" t="s">
        <v>438</v>
      </c>
      <c r="N983" s="117" t="s">
        <v>198</v>
      </c>
      <c r="O983" s="186" t="s">
        <v>887</v>
      </c>
      <c r="P983" s="186" t="s">
        <v>348</v>
      </c>
      <c r="Q983" s="149">
        <v>80111600</v>
      </c>
      <c r="R983" s="186" t="s">
        <v>218</v>
      </c>
      <c r="S983" s="174" t="str">
        <f>MID(PAA[[#This Row],[Meta Proyecto de Inversión]],1,4)</f>
        <v>8173</v>
      </c>
      <c r="T983" s="174" t="str">
        <f>MID(PAA[[#This Row],[Meta Proyecto de Inversión]],6,2)</f>
        <v>9-</v>
      </c>
      <c r="U983" s="187" t="str">
        <f>IFERROR(VLOOKUP(N983,TD!$B$54:$F$58,2,0)," ")</f>
        <v>O230117</v>
      </c>
      <c r="V983" s="187" t="str">
        <f>IFERROR(VLOOKUP(N983,TD!$B$54:$F$58,3,0)," ")</f>
        <v>4503</v>
      </c>
      <c r="W983" s="187">
        <f>IFERROR(VLOOKUP(N983,TD!$B$54:$F$58,4,0)," ")</f>
        <v>20240255</v>
      </c>
      <c r="X983" s="186" t="s">
        <v>172</v>
      </c>
      <c r="Y983" s="172" t="str">
        <f>IFERROR(VLOOKUP(X983,TD!$J$55:$K$68,2,0)," ")</f>
        <v>Servicio de formación en gestión del riesgo de incendios para el personal UAECOB</v>
      </c>
      <c r="Z983" s="180" t="str">
        <f>CONCATENATE(X983,"-",Y983)</f>
        <v>07-Servicio de formación en gestión del riesgo de incendios para el personal UAECOB</v>
      </c>
      <c r="AA983" s="186" t="s">
        <v>222</v>
      </c>
      <c r="AB983" s="172" t="str">
        <f>IFERROR(VLOOKUP(AA983,TD!$N$55:$O$70,2,0)," ")</f>
        <v>Servicio de educación informal</v>
      </c>
      <c r="AC983" s="180" t="str">
        <f>CONCATENATE(AA983,"_",AB983)</f>
        <v>002_Servicio de educación informal</v>
      </c>
      <c r="AD983" s="180" t="str">
        <f>CONCATENATE(Z983," ",AC983)</f>
        <v>07-Servicio de formación en gestión del riesgo de incendios para el personal UAECOB 002_Servicio de educación informal</v>
      </c>
      <c r="AE983" s="187" t="str">
        <f>CONCATENATE(U983,V983,W983,X983,AA983)</f>
        <v>O23011745032024025507002</v>
      </c>
      <c r="AF983" s="172" t="str">
        <f>IFERROR(VLOOKUP(AD983,TD!$J$70:$K$93,2,0)," ")</f>
        <v>PM/0131/0107/45030020255</v>
      </c>
      <c r="AG983" s="130" t="s">
        <v>385</v>
      </c>
      <c r="AH983" s="188" t="s">
        <v>193</v>
      </c>
      <c r="AI983" s="184" t="str">
        <f>CONCATENATE(PAA[[#This Row],[Id Interno]],"-",PAA[[#This Row],[tipo de Contrato (TH talento humano - B/S bienes y/o servicios)]],"-",S983,"-",T983,"-",PAA[[#This Row],[Objeto de la contratación]])</f>
        <v>20261028-TH-8173-9--SGH - Prestar servicios profesionales en la Subdirección de Gestión Humana de la UAE Cuerpo Oficial de Bomberos de Bogotá, apoyando la ejecución de las actividades relacionadas con la permanencia del personal de planta, como parte de los procesos de fortalecimiento de las capacidades conforme a los planes y lineamientos definidos por Desarrollo Organizacional.</v>
      </c>
    </row>
    <row r="984" spans="2:35" ht="84" x14ac:dyDescent="0.35">
      <c r="B984" s="146">
        <v>20261029</v>
      </c>
      <c r="C984" s="117" t="s">
        <v>1259</v>
      </c>
      <c r="D984" s="117" t="s">
        <v>105</v>
      </c>
      <c r="E984" s="117" t="s">
        <v>363</v>
      </c>
      <c r="F984" s="117" t="s">
        <v>144</v>
      </c>
      <c r="G984" s="126" t="s">
        <v>381</v>
      </c>
      <c r="H984" s="147">
        <v>3</v>
      </c>
      <c r="I984" s="147">
        <v>0</v>
      </c>
      <c r="J984" s="130">
        <v>18000000</v>
      </c>
      <c r="K984" s="148" t="s">
        <v>398</v>
      </c>
      <c r="L984" s="177" t="s">
        <v>154</v>
      </c>
      <c r="M984" s="186" t="s">
        <v>438</v>
      </c>
      <c r="N984" s="117" t="s">
        <v>198</v>
      </c>
      <c r="O984" s="186" t="s">
        <v>887</v>
      </c>
      <c r="P984" s="186" t="s">
        <v>348</v>
      </c>
      <c r="Q984" s="149">
        <v>80111600</v>
      </c>
      <c r="R984" s="186" t="s">
        <v>218</v>
      </c>
      <c r="S984" s="174" t="str">
        <f>MID(PAA[[#This Row],[Meta Proyecto de Inversión]],1,4)</f>
        <v>8173</v>
      </c>
      <c r="T984" s="174" t="str">
        <f>MID(PAA[[#This Row],[Meta Proyecto de Inversión]],6,2)</f>
        <v>9-</v>
      </c>
      <c r="U984" s="187" t="str">
        <f>IFERROR(VLOOKUP(N984,TD!$B$54:$F$58,2,0)," ")</f>
        <v>O230117</v>
      </c>
      <c r="V984" s="187" t="str">
        <f>IFERROR(VLOOKUP(N984,TD!$B$54:$F$58,3,0)," ")</f>
        <v>4503</v>
      </c>
      <c r="W984" s="187">
        <f>IFERROR(VLOOKUP(N984,TD!$B$54:$F$58,4,0)," ")</f>
        <v>20240255</v>
      </c>
      <c r="X984" s="186" t="s">
        <v>172</v>
      </c>
      <c r="Y984" s="172" t="str">
        <f>IFERROR(VLOOKUP(X984,TD!$J$55:$K$68,2,0)," ")</f>
        <v>Servicio de formación en gestión del riesgo de incendios para el personal UAECOB</v>
      </c>
      <c r="Z984" s="180" t="str">
        <f>CONCATENATE(X984,"-",Y984)</f>
        <v>07-Servicio de formación en gestión del riesgo de incendios para el personal UAECOB</v>
      </c>
      <c r="AA984" s="186" t="s">
        <v>222</v>
      </c>
      <c r="AB984" s="172" t="str">
        <f>IFERROR(VLOOKUP(AA984,TD!$N$55:$O$70,2,0)," ")</f>
        <v>Servicio de educación informal</v>
      </c>
      <c r="AC984" s="180" t="str">
        <f>CONCATENATE(AA984,"_",AB984)</f>
        <v>002_Servicio de educación informal</v>
      </c>
      <c r="AD984" s="180" t="str">
        <f>CONCATENATE(Z984," ",AC984)</f>
        <v>07-Servicio de formación en gestión del riesgo de incendios para el personal UAECOB 002_Servicio de educación informal</v>
      </c>
      <c r="AE984" s="187" t="str">
        <f>CONCATENATE(U984,V984,W984,X984,AA984)</f>
        <v>O23011745032024025507002</v>
      </c>
      <c r="AF984" s="172" t="str">
        <f>IFERROR(VLOOKUP(AD984,TD!$J$70:$K$93,2,0)," ")</f>
        <v>PM/0131/0107/45030020255</v>
      </c>
      <c r="AG984" s="130" t="s">
        <v>385</v>
      </c>
      <c r="AH984" s="188" t="s">
        <v>193</v>
      </c>
      <c r="AI984" s="184" t="str">
        <f>CONCATENATE(PAA[[#This Row],[Id Interno]],"-",PAA[[#This Row],[tipo de Contrato (TH talento humano - B/S bienes y/o servicios)]],"-",S984,"-",T984,"-",PAA[[#This Row],[Objeto de la contratación]])</f>
        <v>20261029-TH-8173-9--SGH - Prestar servicios profesionales jurídicos en la Subdirección de Gestión Humana, apoyando las gestiones legales y administrativas relacionadas con los procesos de nómina y recobro de incapacidades.</v>
      </c>
    </row>
    <row r="985" spans="2:35" ht="70" x14ac:dyDescent="0.35">
      <c r="B985" s="146">
        <v>20261030</v>
      </c>
      <c r="C985" s="117" t="s">
        <v>1260</v>
      </c>
      <c r="D985" s="117" t="s">
        <v>105</v>
      </c>
      <c r="E985" s="117" t="s">
        <v>363</v>
      </c>
      <c r="F985" s="117" t="s">
        <v>145</v>
      </c>
      <c r="G985" s="126" t="s">
        <v>384</v>
      </c>
      <c r="H985" s="147">
        <v>1</v>
      </c>
      <c r="I985" s="147">
        <v>4</v>
      </c>
      <c r="J985" s="130">
        <v>4800000</v>
      </c>
      <c r="K985" s="148" t="s">
        <v>398</v>
      </c>
      <c r="L985" s="177" t="s">
        <v>154</v>
      </c>
      <c r="M985" s="186" t="s">
        <v>438</v>
      </c>
      <c r="N985" s="117" t="s">
        <v>197</v>
      </c>
      <c r="O985" s="186" t="s">
        <v>886</v>
      </c>
      <c r="P985" s="186" t="s">
        <v>348</v>
      </c>
      <c r="Q985" s="149">
        <v>80111600</v>
      </c>
      <c r="R985" s="186" t="s">
        <v>208</v>
      </c>
      <c r="S985" s="174" t="str">
        <f>MID(PAA[[#This Row],[Meta Proyecto de Inversión]],1,4)</f>
        <v>8126</v>
      </c>
      <c r="T985" s="174" t="str">
        <f>MID(PAA[[#This Row],[Meta Proyecto de Inversión]],6,2)</f>
        <v>9-</v>
      </c>
      <c r="U985" s="187" t="str">
        <f>IFERROR(VLOOKUP(N985,TD!$B$54:$F$58,2,0)," ")</f>
        <v>O230117</v>
      </c>
      <c r="V985" s="187" t="str">
        <f>IFERROR(VLOOKUP(N985,TD!$B$54:$F$58,3,0)," ")</f>
        <v>4599</v>
      </c>
      <c r="W985" s="187">
        <f>IFERROR(VLOOKUP(N985,TD!$B$54:$F$58,4,0)," ")</f>
        <v>20240207</v>
      </c>
      <c r="X985" s="186" t="s">
        <v>174</v>
      </c>
      <c r="Y985" s="172" t="str">
        <f>IFERROR(VLOOKUP(X985,TD!$J$55:$K$68,2,0)," ")</f>
        <v>Infraestructura física, mantenimiento y dotación (Sedes construidas, mantenidas reforzadas)</v>
      </c>
      <c r="Z985" s="180" t="str">
        <f>CONCATENATE(X985,"-",Y985)</f>
        <v>08-Infraestructura física, mantenimiento y dotación (Sedes construidas, mantenidas reforzadas)</v>
      </c>
      <c r="AA985" s="186" t="s">
        <v>227</v>
      </c>
      <c r="AB985" s="172" t="str">
        <f>IFERROR(VLOOKUP(AA985,TD!$N$55:$O$70,2,0)," ")</f>
        <v>Sedes mantenidas</v>
      </c>
      <c r="AC985" s="180" t="str">
        <f>CONCATENATE(AA985,"_",AB985)</f>
        <v>016_Sedes mantenidas</v>
      </c>
      <c r="AD985" s="180" t="str">
        <f>CONCATENATE(Z985," ",AC985)</f>
        <v>08-Infraestructura física, mantenimiento y dotación (Sedes construidas, mantenidas reforzadas) 016_Sedes mantenidas</v>
      </c>
      <c r="AE985" s="187" t="str">
        <f>CONCATENATE(U985,V985,W985,X985,AA985)</f>
        <v>O23011745992024020708016</v>
      </c>
      <c r="AF985" s="172" t="str">
        <f>IFERROR(VLOOKUP(AD985,TD!$J$70:$K$93,2,0)," ")</f>
        <v>PM/0131/0108/45990160207</v>
      </c>
      <c r="AG985" s="130" t="s">
        <v>385</v>
      </c>
      <c r="AH985" s="188" t="s">
        <v>194</v>
      </c>
      <c r="AI985" s="184" t="str">
        <f>CONCATENATE(PAA[[#This Row],[Id Interno]],"-",PAA[[#This Row],[tipo de Contrato (TH talento humano - B/S bienes y/o servicios)]],"-",S985,"-",T985,"-",PAA[[#This Row],[Objeto de la contratación]])</f>
        <v>20261030-TH-8126-9--Adición y prorroga Cto 234-26 cuyo objeto es "SGH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986" spans="2:35" ht="98" x14ac:dyDescent="0.35">
      <c r="B986" s="146">
        <v>20261031</v>
      </c>
      <c r="C986" s="117" t="s">
        <v>1261</v>
      </c>
      <c r="D986" s="117" t="s">
        <v>105</v>
      </c>
      <c r="E986" s="117" t="s">
        <v>363</v>
      </c>
      <c r="F986" s="117" t="s">
        <v>144</v>
      </c>
      <c r="G986" s="126" t="s">
        <v>384</v>
      </c>
      <c r="H986" s="147">
        <v>1</v>
      </c>
      <c r="I986" s="147">
        <v>0</v>
      </c>
      <c r="J986" s="130">
        <v>7000000</v>
      </c>
      <c r="K986" s="148" t="s">
        <v>398</v>
      </c>
      <c r="L986" s="177" t="s">
        <v>154</v>
      </c>
      <c r="M986" s="186" t="s">
        <v>438</v>
      </c>
      <c r="N986" s="117" t="s">
        <v>197</v>
      </c>
      <c r="O986" s="186" t="s">
        <v>886</v>
      </c>
      <c r="P986" s="186" t="s">
        <v>348</v>
      </c>
      <c r="Q986" s="149">
        <v>80111600</v>
      </c>
      <c r="R986" s="186" t="s">
        <v>208</v>
      </c>
      <c r="S986" s="174" t="str">
        <f>MID(PAA[[#This Row],[Meta Proyecto de Inversión]],1,4)</f>
        <v>8126</v>
      </c>
      <c r="T986" s="174" t="str">
        <f>MID(PAA[[#This Row],[Meta Proyecto de Inversión]],6,2)</f>
        <v>9-</v>
      </c>
      <c r="U986" s="187" t="str">
        <f>IFERROR(VLOOKUP(N986,TD!$B$54:$F$58,2,0)," ")</f>
        <v>O230117</v>
      </c>
      <c r="V986" s="187" t="str">
        <f>IFERROR(VLOOKUP(N986,TD!$B$54:$F$58,3,0)," ")</f>
        <v>4599</v>
      </c>
      <c r="W986" s="187">
        <f>IFERROR(VLOOKUP(N986,TD!$B$54:$F$58,4,0)," ")</f>
        <v>20240207</v>
      </c>
      <c r="X986" s="186" t="s">
        <v>174</v>
      </c>
      <c r="Y986" s="172" t="str">
        <f>IFERROR(VLOOKUP(X986,TD!$J$55:$K$68,2,0)," ")</f>
        <v>Infraestructura física, mantenimiento y dotación (Sedes construidas, mantenidas reforzadas)</v>
      </c>
      <c r="Z986" s="180" t="str">
        <f>CONCATENATE(X986,"-",Y986)</f>
        <v>08-Infraestructura física, mantenimiento y dotación (Sedes construidas, mantenidas reforzadas)</v>
      </c>
      <c r="AA986" s="186" t="s">
        <v>227</v>
      </c>
      <c r="AB986" s="172" t="str">
        <f>IFERROR(VLOOKUP(AA986,TD!$N$55:$O$70,2,0)," ")</f>
        <v>Sedes mantenidas</v>
      </c>
      <c r="AC986" s="180" t="str">
        <f>CONCATENATE(AA986,"_",AB986)</f>
        <v>016_Sedes mantenidas</v>
      </c>
      <c r="AD986" s="180" t="str">
        <f>CONCATENATE(Z986," ",AC986)</f>
        <v>08-Infraestructura física, mantenimiento y dotación (Sedes construidas, mantenidas reforzadas) 016_Sedes mantenidas</v>
      </c>
      <c r="AE986" s="187" t="str">
        <f>CONCATENATE(U986,V986,W986,X986,AA986)</f>
        <v>O23011745992024020708016</v>
      </c>
      <c r="AF986" s="172" t="str">
        <f>IFERROR(VLOOKUP(AD986,TD!$J$70:$K$93,2,0)," ")</f>
        <v>PM/0131/0108/45990160207</v>
      </c>
      <c r="AG986" s="130" t="s">
        <v>385</v>
      </c>
      <c r="AH986" s="188" t="s">
        <v>194</v>
      </c>
      <c r="AI986" s="184" t="str">
        <f>CONCATENATE(PAA[[#This Row],[Id Interno]],"-",PAA[[#This Row],[tipo de Contrato (TH talento humano - B/S bienes y/o servicios)]],"-",S986,"-",T986,"-",PAA[[#This Row],[Objeto de la contratación]])</f>
        <v>20261031-TH-8126-9--Adición y prorroga Cto 302-26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987" spans="2:35" ht="98" x14ac:dyDescent="0.35">
      <c r="B987" s="146">
        <v>20261032</v>
      </c>
      <c r="C987" s="117" t="s">
        <v>1262</v>
      </c>
      <c r="D987" s="117" t="s">
        <v>105</v>
      </c>
      <c r="E987" s="117" t="s">
        <v>363</v>
      </c>
      <c r="F987" s="117" t="s">
        <v>144</v>
      </c>
      <c r="G987" s="126" t="s">
        <v>384</v>
      </c>
      <c r="H987" s="147">
        <v>1</v>
      </c>
      <c r="I987" s="147">
        <v>0</v>
      </c>
      <c r="J987" s="130">
        <v>7000000</v>
      </c>
      <c r="K987" s="148" t="s">
        <v>398</v>
      </c>
      <c r="L987" s="177" t="s">
        <v>154</v>
      </c>
      <c r="M987" s="186" t="s">
        <v>438</v>
      </c>
      <c r="N987" s="117" t="s">
        <v>197</v>
      </c>
      <c r="O987" s="186" t="s">
        <v>886</v>
      </c>
      <c r="P987" s="186" t="s">
        <v>348</v>
      </c>
      <c r="Q987" s="149">
        <v>80111600</v>
      </c>
      <c r="R987" s="186" t="s">
        <v>208</v>
      </c>
      <c r="S987" s="174" t="str">
        <f>MID(PAA[[#This Row],[Meta Proyecto de Inversión]],1,4)</f>
        <v>8126</v>
      </c>
      <c r="T987" s="174" t="str">
        <f>MID(PAA[[#This Row],[Meta Proyecto de Inversión]],6,2)</f>
        <v>9-</v>
      </c>
      <c r="U987" s="187" t="str">
        <f>IFERROR(VLOOKUP(N987,TD!$B$54:$F$58,2,0)," ")</f>
        <v>O230117</v>
      </c>
      <c r="V987" s="187" t="str">
        <f>IFERROR(VLOOKUP(N987,TD!$B$54:$F$58,3,0)," ")</f>
        <v>4599</v>
      </c>
      <c r="W987" s="187">
        <f>IFERROR(VLOOKUP(N987,TD!$B$54:$F$58,4,0)," ")</f>
        <v>20240207</v>
      </c>
      <c r="X987" s="186" t="s">
        <v>174</v>
      </c>
      <c r="Y987" s="172" t="str">
        <f>IFERROR(VLOOKUP(X987,TD!$J$55:$K$68,2,0)," ")</f>
        <v>Infraestructura física, mantenimiento y dotación (Sedes construidas, mantenidas reforzadas)</v>
      </c>
      <c r="Z987" s="180" t="str">
        <f>CONCATENATE(X987,"-",Y987)</f>
        <v>08-Infraestructura física, mantenimiento y dotación (Sedes construidas, mantenidas reforzadas)</v>
      </c>
      <c r="AA987" s="186" t="s">
        <v>227</v>
      </c>
      <c r="AB987" s="172" t="str">
        <f>IFERROR(VLOOKUP(AA987,TD!$N$55:$O$70,2,0)," ")</f>
        <v>Sedes mantenidas</v>
      </c>
      <c r="AC987" s="180" t="str">
        <f>CONCATENATE(AA987,"_",AB987)</f>
        <v>016_Sedes mantenidas</v>
      </c>
      <c r="AD987" s="180" t="str">
        <f>CONCATENATE(Z987," ",AC987)</f>
        <v>08-Infraestructura física, mantenimiento y dotación (Sedes construidas, mantenidas reforzadas) 016_Sedes mantenidas</v>
      </c>
      <c r="AE987" s="187" t="str">
        <f>CONCATENATE(U987,V987,W987,X987,AA987)</f>
        <v>O23011745992024020708016</v>
      </c>
      <c r="AF987" s="172" t="str">
        <f>IFERROR(VLOOKUP(AD987,TD!$J$70:$K$93,2,0)," ")</f>
        <v>PM/0131/0108/45990160207</v>
      </c>
      <c r="AG987" s="130" t="s">
        <v>385</v>
      </c>
      <c r="AH987" s="188" t="s">
        <v>194</v>
      </c>
      <c r="AI987" s="184" t="str">
        <f>CONCATENATE(PAA[[#This Row],[Id Interno]],"-",PAA[[#This Row],[tipo de Contrato (TH talento humano - B/S bienes y/o servicios)]],"-",S987,"-",T987,"-",PAA[[#This Row],[Objeto de la contratación]])</f>
        <v>20261032-TH-8126-9--Adición y prorroga Cto 337-26 cuyo objeto es "SGH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988" spans="2:35" ht="98" x14ac:dyDescent="0.35">
      <c r="B988" s="146">
        <v>20261033</v>
      </c>
      <c r="C988" s="117" t="s">
        <v>1263</v>
      </c>
      <c r="D988" s="117" t="s">
        <v>105</v>
      </c>
      <c r="E988" s="117" t="s">
        <v>402</v>
      </c>
      <c r="F988" s="117" t="s">
        <v>84</v>
      </c>
      <c r="G988" s="126" t="s">
        <v>382</v>
      </c>
      <c r="H988" s="147">
        <v>4</v>
      </c>
      <c r="I988" s="147">
        <v>0</v>
      </c>
      <c r="J988" s="130">
        <v>194696255</v>
      </c>
      <c r="K988" s="148" t="s">
        <v>398</v>
      </c>
      <c r="L988" s="177" t="s">
        <v>154</v>
      </c>
      <c r="M988" s="186" t="s">
        <v>438</v>
      </c>
      <c r="N988" s="117" t="s">
        <v>198</v>
      </c>
      <c r="O988" s="186" t="s">
        <v>887</v>
      </c>
      <c r="P988" s="186" t="s">
        <v>348</v>
      </c>
      <c r="Q988" s="149" t="s">
        <v>467</v>
      </c>
      <c r="R988" s="186" t="s">
        <v>218</v>
      </c>
      <c r="S988" s="174" t="str">
        <f>MID(PAA[[#This Row],[Meta Proyecto de Inversión]],1,4)</f>
        <v>8173</v>
      </c>
      <c r="T988" s="174" t="str">
        <f>MID(PAA[[#This Row],[Meta Proyecto de Inversión]],6,2)</f>
        <v>9-</v>
      </c>
      <c r="U988" s="187" t="str">
        <f>IFERROR(VLOOKUP(N988,TD!$B$54:$F$58,2,0)," ")</f>
        <v>O230117</v>
      </c>
      <c r="V988" s="187" t="str">
        <f>IFERROR(VLOOKUP(N988,TD!$B$54:$F$58,3,0)," ")</f>
        <v>4503</v>
      </c>
      <c r="W988" s="187">
        <f>IFERROR(VLOOKUP(N988,TD!$B$54:$F$58,4,0)," ")</f>
        <v>20240255</v>
      </c>
      <c r="X988" s="186" t="s">
        <v>172</v>
      </c>
      <c r="Y988" s="172" t="str">
        <f>IFERROR(VLOOKUP(X988,TD!$J$55:$K$68,2,0)," ")</f>
        <v>Servicio de formación en gestión del riesgo de incendios para el personal UAECOB</v>
      </c>
      <c r="Z988" s="180" t="str">
        <f>CONCATENATE(X988,"-",Y988)</f>
        <v>07-Servicio de formación en gestión del riesgo de incendios para el personal UAECOB</v>
      </c>
      <c r="AA988" s="186" t="s">
        <v>222</v>
      </c>
      <c r="AB988" s="172" t="str">
        <f>IFERROR(VLOOKUP(AA988,TD!$N$55:$O$70,2,0)," ")</f>
        <v>Servicio de educación informal</v>
      </c>
      <c r="AC988" s="180" t="str">
        <f>CONCATENATE(AA988,"_",AB988)</f>
        <v>002_Servicio de educación informal</v>
      </c>
      <c r="AD988" s="180" t="str">
        <f>CONCATENATE(Z988," ",AC988)</f>
        <v>07-Servicio de formación en gestión del riesgo de incendios para el personal UAECOB 002_Servicio de educación informal</v>
      </c>
      <c r="AE988" s="187" t="str">
        <f>CONCATENATE(U988,V988,W988,X988,AA988)</f>
        <v>O23011745032024025507002</v>
      </c>
      <c r="AF988" s="172" t="str">
        <f>IFERROR(VLOOKUP(AD988,TD!$J$70:$K$93,2,0)," ")</f>
        <v>PM/0131/0107/45030020255</v>
      </c>
      <c r="AG988" s="130" t="s">
        <v>865</v>
      </c>
      <c r="AH988" s="188" t="s">
        <v>193</v>
      </c>
      <c r="AI988" s="184" t="str">
        <f>CONCATENATE(PAA[[#This Row],[Id Interno]],"-",PAA[[#This Row],[tipo de Contrato (TH talento humano - B/S bienes y/o servicios)]],"-",S988,"-",T988,"-",PAA[[#This Row],[Objeto de la contratación]])</f>
        <v>20261033-BS-8173-9--SGH - Prestar servicios para el desarrollo e implementación de programas de capacitación, formación y entrenamiento, mediante la realización de cursos y demás estrategias de transferencia de conocimiento e innovación, dirigidos al personal operativo y grupos especializados de la UAE Cuerpo Oficial de Bomberos Bogotá, orientados al fortalecimiento de sus competencias técnicas y capacidades de respuesta ante emergencias, de conformidad con las necesidades institucionales.</v>
      </c>
    </row>
    <row r="989" spans="2:35" ht="112" x14ac:dyDescent="0.35">
      <c r="B989" s="155">
        <v>20261034</v>
      </c>
      <c r="C989" s="97" t="s">
        <v>1264</v>
      </c>
      <c r="D989" s="97" t="s">
        <v>105</v>
      </c>
      <c r="E989" s="97" t="s">
        <v>363</v>
      </c>
      <c r="F989" s="97" t="s">
        <v>144</v>
      </c>
      <c r="G989" s="124" t="s">
        <v>384</v>
      </c>
      <c r="H989" s="150">
        <v>1</v>
      </c>
      <c r="I989" s="150">
        <v>0</v>
      </c>
      <c r="J989" s="114">
        <v>7700000</v>
      </c>
      <c r="K989" s="121" t="s">
        <v>398</v>
      </c>
      <c r="L989" s="164" t="s">
        <v>154</v>
      </c>
      <c r="M989" s="171" t="s">
        <v>438</v>
      </c>
      <c r="N989" s="97" t="s">
        <v>198</v>
      </c>
      <c r="O989" s="171" t="s">
        <v>887</v>
      </c>
      <c r="P989" s="171" t="s">
        <v>348</v>
      </c>
      <c r="Q989" s="123">
        <v>80111600</v>
      </c>
      <c r="R989" s="171" t="s">
        <v>218</v>
      </c>
      <c r="S989" s="166" t="str">
        <f>MID(PAA[[#This Row],[Meta Proyecto de Inversión]],1,4)</f>
        <v>8173</v>
      </c>
      <c r="T989" s="166" t="str">
        <f>MID(PAA[[#This Row],[Meta Proyecto de Inversión]],6,2)</f>
        <v>9-</v>
      </c>
      <c r="U989" s="172" t="str">
        <f>IFERROR(VLOOKUP(N989,TD!$B$54:$F$58,2,0)," ")</f>
        <v>O230117</v>
      </c>
      <c r="V989" s="172" t="str">
        <f>IFERROR(VLOOKUP(N989,TD!$B$54:$F$58,3,0)," ")</f>
        <v>4503</v>
      </c>
      <c r="W989" s="172">
        <f>IFERROR(VLOOKUP(N989,TD!$B$54:$F$58,4,0)," ")</f>
        <v>20240255</v>
      </c>
      <c r="X989" s="171" t="s">
        <v>172</v>
      </c>
      <c r="Y989" s="172" t="str">
        <f>IFERROR(VLOOKUP(X989,TD!$J$55:$K$68,2,0)," ")</f>
        <v>Servicio de formación en gestión del riesgo de incendios para el personal UAECOB</v>
      </c>
      <c r="Z989" s="168" t="str">
        <f>CONCATENATE(X989,"-",Y989)</f>
        <v>07-Servicio de formación en gestión del riesgo de incendios para el personal UAECOB</v>
      </c>
      <c r="AA989" s="171" t="s">
        <v>222</v>
      </c>
      <c r="AB989" s="172" t="str">
        <f>IFERROR(VLOOKUP(AA989,TD!$N$55:$O$70,2,0)," ")</f>
        <v>Servicio de educación informal</v>
      </c>
      <c r="AC989" s="168" t="str">
        <f>CONCATENATE(AA989,"_",AB989)</f>
        <v>002_Servicio de educación informal</v>
      </c>
      <c r="AD989" s="168" t="str">
        <f>CONCATENATE(Z989," ",AC989)</f>
        <v>07-Servicio de formación en gestión del riesgo de incendios para el personal UAECOB 002_Servicio de educación informal</v>
      </c>
      <c r="AE989" s="172" t="str">
        <f>CONCATENATE(U989,V989,W989,X989,AA989)</f>
        <v>O23011745032024025507002</v>
      </c>
      <c r="AF989" s="172" t="str">
        <f>IFERROR(VLOOKUP(AD989,TD!$J$70:$K$93,2,0)," ")</f>
        <v>PM/0131/0107/45030020255</v>
      </c>
      <c r="AG989" s="114" t="s">
        <v>385</v>
      </c>
      <c r="AH989" s="182" t="s">
        <v>194</v>
      </c>
      <c r="AI989" s="184" t="str">
        <f>CONCATENATE(PAA[[#This Row],[Id Interno]],"-",PAA[[#This Row],[tipo de Contrato (TH talento humano - B/S bienes y/o servicios)]],"-",S989,"-",T989,"-",PAA[[#This Row],[Objeto de la contratación]])</f>
        <v>20261034-TH-8173-9--Adición y prorroga Cto 124-26 cuyo objeto es "SGH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990" spans="2:35" ht="126" x14ac:dyDescent="0.35">
      <c r="B990" s="155">
        <v>20261035</v>
      </c>
      <c r="C990" s="97" t="s">
        <v>1265</v>
      </c>
      <c r="D990" s="97" t="s">
        <v>105</v>
      </c>
      <c r="E990" s="97" t="s">
        <v>363</v>
      </c>
      <c r="F990" s="97" t="s">
        <v>144</v>
      </c>
      <c r="G990" s="124" t="s">
        <v>384</v>
      </c>
      <c r="H990" s="150">
        <v>1</v>
      </c>
      <c r="I990" s="150">
        <v>0</v>
      </c>
      <c r="J990" s="114">
        <v>7400000</v>
      </c>
      <c r="K990" s="121" t="s">
        <v>398</v>
      </c>
      <c r="L990" s="164" t="s">
        <v>154</v>
      </c>
      <c r="M990" s="171" t="s">
        <v>438</v>
      </c>
      <c r="N990" s="97" t="s">
        <v>198</v>
      </c>
      <c r="O990" s="171" t="s">
        <v>887</v>
      </c>
      <c r="P990" s="171" t="s">
        <v>348</v>
      </c>
      <c r="Q990" s="123">
        <v>80111600</v>
      </c>
      <c r="R990" s="171" t="s">
        <v>218</v>
      </c>
      <c r="S990" s="166" t="str">
        <f>MID(PAA[[#This Row],[Meta Proyecto de Inversión]],1,4)</f>
        <v>8173</v>
      </c>
      <c r="T990" s="166" t="str">
        <f>MID(PAA[[#This Row],[Meta Proyecto de Inversión]],6,2)</f>
        <v>9-</v>
      </c>
      <c r="U990" s="172" t="str">
        <f>IFERROR(VLOOKUP(N990,TD!$B$54:$F$58,2,0)," ")</f>
        <v>O230117</v>
      </c>
      <c r="V990" s="172" t="str">
        <f>IFERROR(VLOOKUP(N990,TD!$B$54:$F$58,3,0)," ")</f>
        <v>4503</v>
      </c>
      <c r="W990" s="172">
        <f>IFERROR(VLOOKUP(N990,TD!$B$54:$F$58,4,0)," ")</f>
        <v>20240255</v>
      </c>
      <c r="X990" s="171" t="s">
        <v>172</v>
      </c>
      <c r="Y990" s="172" t="str">
        <f>IFERROR(VLOOKUP(X990,TD!$J$55:$K$68,2,0)," ")</f>
        <v>Servicio de formación en gestión del riesgo de incendios para el personal UAECOB</v>
      </c>
      <c r="Z990" s="168" t="str">
        <f>CONCATENATE(X990,"-",Y990)</f>
        <v>07-Servicio de formación en gestión del riesgo de incendios para el personal UAECOB</v>
      </c>
      <c r="AA990" s="171" t="s">
        <v>222</v>
      </c>
      <c r="AB990" s="172" t="str">
        <f>IFERROR(VLOOKUP(AA990,TD!$N$55:$O$70,2,0)," ")</f>
        <v>Servicio de educación informal</v>
      </c>
      <c r="AC990" s="168" t="str">
        <f>CONCATENATE(AA990,"_",AB990)</f>
        <v>002_Servicio de educación informal</v>
      </c>
      <c r="AD990" s="168" t="str">
        <f>CONCATENATE(Z990," ",AC990)</f>
        <v>07-Servicio de formación en gestión del riesgo de incendios para el personal UAECOB 002_Servicio de educación informal</v>
      </c>
      <c r="AE990" s="172" t="str">
        <f>CONCATENATE(U990,V990,W990,X990,AA990)</f>
        <v>O23011745032024025507002</v>
      </c>
      <c r="AF990" s="172" t="str">
        <f>IFERROR(VLOOKUP(AD990,TD!$J$70:$K$93,2,0)," ")</f>
        <v>PM/0131/0107/45030020255</v>
      </c>
      <c r="AG990" s="114" t="s">
        <v>385</v>
      </c>
      <c r="AH990" s="182" t="s">
        <v>194</v>
      </c>
      <c r="AI990" s="184" t="str">
        <f>CONCATENATE(PAA[[#This Row],[Id Interno]],"-",PAA[[#This Row],[tipo de Contrato (TH talento humano - B/S bienes y/o servicios)]],"-",S990,"-",T990,"-",PAA[[#This Row],[Objeto de la contratación]])</f>
        <v>20261035-TH-8173-9--SGH - Adición y prorroga contrato 126-2026, cuyo objeto es "SGH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991" spans="2:35" ht="98" x14ac:dyDescent="0.35">
      <c r="B991" s="155">
        <v>20261036</v>
      </c>
      <c r="C991" s="97" t="s">
        <v>1266</v>
      </c>
      <c r="D991" s="97" t="s">
        <v>105</v>
      </c>
      <c r="E991" s="97" t="s">
        <v>363</v>
      </c>
      <c r="F991" s="97" t="s">
        <v>145</v>
      </c>
      <c r="G991" s="124" t="s">
        <v>384</v>
      </c>
      <c r="H991" s="150">
        <v>1</v>
      </c>
      <c r="I991" s="150">
        <v>0</v>
      </c>
      <c r="J991" s="114">
        <v>3700000</v>
      </c>
      <c r="K991" s="121" t="s">
        <v>398</v>
      </c>
      <c r="L991" s="164" t="s">
        <v>154</v>
      </c>
      <c r="M991" s="171" t="s">
        <v>438</v>
      </c>
      <c r="N991" s="97" t="s">
        <v>198</v>
      </c>
      <c r="O991" s="171" t="s">
        <v>887</v>
      </c>
      <c r="P991" s="171" t="s">
        <v>348</v>
      </c>
      <c r="Q991" s="123">
        <v>80111600</v>
      </c>
      <c r="R991" s="171" t="s">
        <v>218</v>
      </c>
      <c r="S991" s="166" t="str">
        <f>MID(PAA[[#This Row],[Meta Proyecto de Inversión]],1,4)</f>
        <v>8173</v>
      </c>
      <c r="T991" s="166" t="str">
        <f>MID(PAA[[#This Row],[Meta Proyecto de Inversión]],6,2)</f>
        <v>9-</v>
      </c>
      <c r="U991" s="172" t="str">
        <f>IFERROR(VLOOKUP(N991,TD!$B$54:$F$58,2,0)," ")</f>
        <v>O230117</v>
      </c>
      <c r="V991" s="172" t="str">
        <f>IFERROR(VLOOKUP(N991,TD!$B$54:$F$58,3,0)," ")</f>
        <v>4503</v>
      </c>
      <c r="W991" s="172">
        <f>IFERROR(VLOOKUP(N991,TD!$B$54:$F$58,4,0)," ")</f>
        <v>20240255</v>
      </c>
      <c r="X991" s="171" t="s">
        <v>172</v>
      </c>
      <c r="Y991" s="172" t="str">
        <f>IFERROR(VLOOKUP(X991,TD!$J$55:$K$68,2,0)," ")</f>
        <v>Servicio de formación en gestión del riesgo de incendios para el personal UAECOB</v>
      </c>
      <c r="Z991" s="168" t="str">
        <f>CONCATENATE(X991,"-",Y991)</f>
        <v>07-Servicio de formación en gestión del riesgo de incendios para el personal UAECOB</v>
      </c>
      <c r="AA991" s="171" t="s">
        <v>222</v>
      </c>
      <c r="AB991" s="172" t="str">
        <f>IFERROR(VLOOKUP(AA991,TD!$N$55:$O$70,2,0)," ")</f>
        <v>Servicio de educación informal</v>
      </c>
      <c r="AC991" s="168" t="str">
        <f>CONCATENATE(AA991,"_",AB991)</f>
        <v>002_Servicio de educación informal</v>
      </c>
      <c r="AD991" s="168" t="str">
        <f>CONCATENATE(Z991," ",AC991)</f>
        <v>07-Servicio de formación en gestión del riesgo de incendios para el personal UAECOB 002_Servicio de educación informal</v>
      </c>
      <c r="AE991" s="172" t="str">
        <f>CONCATENATE(U991,V991,W991,X991,AA991)</f>
        <v>O23011745032024025507002</v>
      </c>
      <c r="AF991" s="172" t="str">
        <f>IFERROR(VLOOKUP(AD991,TD!$J$70:$K$93,2,0)," ")</f>
        <v>PM/0131/0107/45030020255</v>
      </c>
      <c r="AG991" s="114" t="s">
        <v>385</v>
      </c>
      <c r="AH991" s="182" t="s">
        <v>194</v>
      </c>
      <c r="AI991" s="184" t="str">
        <f>CONCATENATE(PAA[[#This Row],[Id Interno]],"-",PAA[[#This Row],[tipo de Contrato (TH talento humano - B/S bienes y/o servicios)]],"-",S991,"-",T991,"-",PAA[[#This Row],[Objeto de la contratación]])</f>
        <v>20261036-TH-8173-9--SGH - Adición y prorroga contrato 270-2026, cuyo objeto es "SGH - Prestar servicios de apoyo a la Academia de la UAE Cuerpo Oficial de Bomberos de Bogotá D.C., para el desarrollo logístico y administrativo, contribuyendo al fortalecimiento de la formación, capacitación y gestión institucional."</v>
      </c>
    </row>
    <row r="992" spans="2:35" ht="70" x14ac:dyDescent="0.35">
      <c r="B992" s="143">
        <v>20261038</v>
      </c>
      <c r="C992" s="97" t="s">
        <v>1268</v>
      </c>
      <c r="D992" s="23" t="s">
        <v>105</v>
      </c>
      <c r="E992" s="23" t="s">
        <v>363</v>
      </c>
      <c r="F992" s="23" t="s">
        <v>144</v>
      </c>
      <c r="G992" s="124" t="s">
        <v>383</v>
      </c>
      <c r="H992" s="131">
        <v>1</v>
      </c>
      <c r="I992" s="131">
        <v>2</v>
      </c>
      <c r="J992" s="122">
        <v>9066667</v>
      </c>
      <c r="K992" s="88" t="s">
        <v>398</v>
      </c>
      <c r="L992" s="163" t="s">
        <v>46</v>
      </c>
      <c r="M992" s="166" t="s">
        <v>1228</v>
      </c>
      <c r="N992" s="23" t="s">
        <v>197</v>
      </c>
      <c r="O992" s="166" t="s">
        <v>886</v>
      </c>
      <c r="P992" s="166" t="s">
        <v>348</v>
      </c>
      <c r="Q992" s="53">
        <v>80111600</v>
      </c>
      <c r="R992" s="166" t="s">
        <v>208</v>
      </c>
      <c r="S992" s="166" t="str">
        <f>MID(PAA[[#This Row],[Meta Proyecto de Inversión]],1,4)</f>
        <v>8126</v>
      </c>
      <c r="T992" s="166" t="str">
        <f>MID(PAA[[#This Row],[Meta Proyecto de Inversión]],6,2)</f>
        <v>9-</v>
      </c>
      <c r="U992" s="167" t="str">
        <f>IFERROR(VLOOKUP(N992,TD!$B$54:$F$58,2,0)," ")</f>
        <v>O230117</v>
      </c>
      <c r="V992" s="167" t="str">
        <f>IFERROR(VLOOKUP(N992,TD!$B$54:$F$58,3,0)," ")</f>
        <v>4599</v>
      </c>
      <c r="W992" s="167">
        <f>IFERROR(VLOOKUP(N992,TD!$B$54:$F$58,4,0)," ")</f>
        <v>20240207</v>
      </c>
      <c r="X992" s="166" t="s">
        <v>174</v>
      </c>
      <c r="Y992" s="172" t="str">
        <f>IFERROR(VLOOKUP(X992,TD!$J$55:$K$68,2,0)," ")</f>
        <v>Infraestructura física, mantenimiento y dotación (Sedes construidas, mantenidas reforzadas)</v>
      </c>
      <c r="Z992" s="168" t="str">
        <f>CONCATENATE(X992,"-",Y992)</f>
        <v>08-Infraestructura física, mantenimiento y dotación (Sedes construidas, mantenidas reforzadas)</v>
      </c>
      <c r="AA992" s="166" t="s">
        <v>227</v>
      </c>
      <c r="AB992" s="172" t="str">
        <f>IFERROR(VLOOKUP(AA992,TD!$N$55:$O$70,2,0)," ")</f>
        <v>Sedes mantenidas</v>
      </c>
      <c r="AC992" s="168" t="str">
        <f>CONCATENATE(AA992,"_",AB992)</f>
        <v>016_Sedes mantenidas</v>
      </c>
      <c r="AD992" s="168" t="str">
        <f>CONCATENATE(Z992," ",AC992)</f>
        <v>08-Infraestructura física, mantenimiento y dotación (Sedes construidas, mantenidas reforzadas) 016_Sedes mantenidas</v>
      </c>
      <c r="AE992" s="167" t="str">
        <f>CONCATENATE(U992,V992,W992,X992,AA992)</f>
        <v>O23011745992024020708016</v>
      </c>
      <c r="AF992" s="172" t="str">
        <f>IFERROR(VLOOKUP(AD992,TD!$J$70:$K$93,2,0)," ")</f>
        <v>PM/0131/0108/45990160207</v>
      </c>
      <c r="AG992" s="114" t="s">
        <v>385</v>
      </c>
      <c r="AH992" s="175" t="s">
        <v>194</v>
      </c>
      <c r="AI992" s="184" t="str">
        <f>CONCATENATE(PAA[[#This Row],[Id Interno]],"-",PAA[[#This Row],[tipo de Contrato (TH talento humano - B/S bienes y/o servicios)]],"-",S992,"-",T992,"-",PAA[[#This Row],[Objeto de la contratación]])</f>
        <v>20261038-TH-8126-9--Adición y prórroga del Contrato 142-2026 cuyo objeto es: Prestar los servicios profesionales jurídicos especializados en la Oficina de Control Disciplinario Interno de la entidad estableciendo pautas de liderazgo en las actuaciones procesales que se deban tramitar en esa dependencia en etapa de instrucción</v>
      </c>
    </row>
    <row r="993" spans="2:35" ht="70" x14ac:dyDescent="0.35">
      <c r="B993" s="137">
        <v>20261039</v>
      </c>
      <c r="C993" s="117" t="s">
        <v>1269</v>
      </c>
      <c r="D993" s="125" t="s">
        <v>105</v>
      </c>
      <c r="E993" s="125" t="s">
        <v>363</v>
      </c>
      <c r="F993" s="125" t="s">
        <v>144</v>
      </c>
      <c r="G993" s="126" t="s">
        <v>383</v>
      </c>
      <c r="H993" s="132">
        <v>1</v>
      </c>
      <c r="I993" s="132">
        <v>25</v>
      </c>
      <c r="J993" s="127">
        <v>14666667</v>
      </c>
      <c r="K993" s="128" t="s">
        <v>398</v>
      </c>
      <c r="L993" s="176" t="s">
        <v>46</v>
      </c>
      <c r="M993" s="174" t="s">
        <v>1228</v>
      </c>
      <c r="N993" s="125" t="s">
        <v>197</v>
      </c>
      <c r="O993" s="174" t="s">
        <v>886</v>
      </c>
      <c r="P993" s="174" t="s">
        <v>348</v>
      </c>
      <c r="Q993" s="129">
        <v>80111600</v>
      </c>
      <c r="R993" s="174" t="s">
        <v>208</v>
      </c>
      <c r="S993" s="174" t="str">
        <f>MID(PAA[[#This Row],[Meta Proyecto de Inversión]],1,4)</f>
        <v>8126</v>
      </c>
      <c r="T993" s="174" t="str">
        <f>MID(PAA[[#This Row],[Meta Proyecto de Inversión]],6,2)</f>
        <v>9-</v>
      </c>
      <c r="U993" s="179" t="str">
        <f>IFERROR(VLOOKUP(N993,TD!$B$54:$F$58,2,0)," ")</f>
        <v>O230117</v>
      </c>
      <c r="V993" s="179" t="str">
        <f>IFERROR(VLOOKUP(N993,TD!$B$54:$F$58,3,0)," ")</f>
        <v>4599</v>
      </c>
      <c r="W993" s="179">
        <f>IFERROR(VLOOKUP(N993,TD!$B$54:$F$58,4,0)," ")</f>
        <v>20240207</v>
      </c>
      <c r="X993" s="174" t="s">
        <v>174</v>
      </c>
      <c r="Y993" s="187" t="str">
        <f>IFERROR(VLOOKUP(X993,TD!$J$55:$K$68,2,0)," ")</f>
        <v>Infraestructura física, mantenimiento y dotación (Sedes construidas, mantenidas reforzadas)</v>
      </c>
      <c r="Z993" s="180" t="str">
        <f>CONCATENATE(X993,"-",Y993)</f>
        <v>08-Infraestructura física, mantenimiento y dotación (Sedes construidas, mantenidas reforzadas)</v>
      </c>
      <c r="AA993" s="174" t="s">
        <v>227</v>
      </c>
      <c r="AB993" s="187" t="str">
        <f>IFERROR(VLOOKUP(AA993,TD!$N$55:$O$70,2,0)," ")</f>
        <v>Sedes mantenidas</v>
      </c>
      <c r="AC993" s="180" t="str">
        <f>CONCATENATE(AA993,"_",AB993)</f>
        <v>016_Sedes mantenidas</v>
      </c>
      <c r="AD993" s="180" t="str">
        <f>CONCATENATE(Z993," ",AC993)</f>
        <v>08-Infraestructura física, mantenimiento y dotación (Sedes construidas, mantenidas reforzadas) 016_Sedes mantenidas</v>
      </c>
      <c r="AE993" s="179" t="str">
        <f>CONCATENATE(U993,V993,W993,X993,AA993)</f>
        <v>O23011745992024020708016</v>
      </c>
      <c r="AF993" s="187" t="str">
        <f>IFERROR(VLOOKUP(AD993,TD!$J$70:$K$93,2,0)," ")</f>
        <v>PM/0131/0108/45990160207</v>
      </c>
      <c r="AG993" s="130" t="s">
        <v>385</v>
      </c>
      <c r="AH993" s="181" t="s">
        <v>194</v>
      </c>
      <c r="AI993" s="184" t="str">
        <f>CONCATENATE(PAA[[#This Row],[Id Interno]],"-",PAA[[#This Row],[tipo de Contrato (TH talento humano - B/S bienes y/o servicios)]],"-",S993,"-",T993,"-",PAA[[#This Row],[Objeto de la contratación]])</f>
        <v>20261039-TH-8126-9--Adición y prórroga del Contrato 137-2026 cuyo objeto es: Prestar servicios profesionales jurídicos en la Oficina de Control Disciplinario Interno de la entidad para apoyar la gestión, logística y operación de los procesos contractuales y administrativos a cargo de esta dependencia.</v>
      </c>
    </row>
    <row r="994" spans="2:35" ht="70" x14ac:dyDescent="0.35">
      <c r="B994" s="137">
        <v>20261040</v>
      </c>
      <c r="C994" s="117" t="s">
        <v>1270</v>
      </c>
      <c r="D994" s="125" t="s">
        <v>105</v>
      </c>
      <c r="E994" s="125" t="s">
        <v>363</v>
      </c>
      <c r="F994" s="125" t="s">
        <v>144</v>
      </c>
      <c r="G994" s="126" t="s">
        <v>384</v>
      </c>
      <c r="H994" s="132">
        <v>1</v>
      </c>
      <c r="I994" s="132">
        <v>15</v>
      </c>
      <c r="J994" s="127">
        <v>10500000</v>
      </c>
      <c r="K994" s="128" t="s">
        <v>398</v>
      </c>
      <c r="L994" s="176" t="s">
        <v>46</v>
      </c>
      <c r="M994" s="174" t="s">
        <v>1228</v>
      </c>
      <c r="N994" s="125" t="s">
        <v>197</v>
      </c>
      <c r="O994" s="174" t="s">
        <v>886</v>
      </c>
      <c r="P994" s="174" t="s">
        <v>348</v>
      </c>
      <c r="Q994" s="129">
        <v>80111600</v>
      </c>
      <c r="R994" s="174" t="s">
        <v>208</v>
      </c>
      <c r="S994" s="174" t="str">
        <f>MID(PAA[[#This Row],[Meta Proyecto de Inversión]],1,4)</f>
        <v>8126</v>
      </c>
      <c r="T994" s="174" t="str">
        <f>MID(PAA[[#This Row],[Meta Proyecto de Inversión]],6,2)</f>
        <v>9-</v>
      </c>
      <c r="U994" s="179" t="str">
        <f>IFERROR(VLOOKUP(N994,TD!$B$54:$F$58,2,0)," ")</f>
        <v>O230117</v>
      </c>
      <c r="V994" s="179" t="str">
        <f>IFERROR(VLOOKUP(N994,TD!$B$54:$F$58,3,0)," ")</f>
        <v>4599</v>
      </c>
      <c r="W994" s="179">
        <f>IFERROR(VLOOKUP(N994,TD!$B$54:$F$58,4,0)," ")</f>
        <v>20240207</v>
      </c>
      <c r="X994" s="174" t="s">
        <v>174</v>
      </c>
      <c r="Y994" s="187" t="str">
        <f>IFERROR(VLOOKUP(X994,TD!$J$55:$K$68,2,0)," ")</f>
        <v>Infraestructura física, mantenimiento y dotación (Sedes construidas, mantenidas reforzadas)</v>
      </c>
      <c r="Z994" s="180" t="str">
        <f>CONCATENATE(X994,"-",Y994)</f>
        <v>08-Infraestructura física, mantenimiento y dotación (Sedes construidas, mantenidas reforzadas)</v>
      </c>
      <c r="AA994" s="174" t="s">
        <v>227</v>
      </c>
      <c r="AB994" s="187" t="str">
        <f>IFERROR(VLOOKUP(AA994,TD!$N$55:$O$70,2,0)," ")</f>
        <v>Sedes mantenidas</v>
      </c>
      <c r="AC994" s="180" t="str">
        <f>CONCATENATE(AA994,"_",AB994)</f>
        <v>016_Sedes mantenidas</v>
      </c>
      <c r="AD994" s="180" t="str">
        <f>CONCATENATE(Z994," ",AC994)</f>
        <v>08-Infraestructura física, mantenimiento y dotación (Sedes construidas, mantenidas reforzadas) 016_Sedes mantenidas</v>
      </c>
      <c r="AE994" s="179" t="str">
        <f>CONCATENATE(U994,V994,W994,X994,AA994)</f>
        <v>O23011745992024020708016</v>
      </c>
      <c r="AF994" s="187" t="str">
        <f>IFERROR(VLOOKUP(AD994,TD!$J$70:$K$93,2,0)," ")</f>
        <v>PM/0131/0108/45990160207</v>
      </c>
      <c r="AG994" s="130" t="s">
        <v>385</v>
      </c>
      <c r="AH994" s="181" t="s">
        <v>194</v>
      </c>
      <c r="AI994" s="184" t="str">
        <f>CONCATENATE(PAA[[#This Row],[Id Interno]],"-",PAA[[#This Row],[tipo de Contrato (TH talento humano - B/S bienes y/o servicios)]],"-",S994,"-",T994,"-",PAA[[#This Row],[Objeto de la contratación]])</f>
        <v>20261040-TH-8126-9--Adición y prórroga del Contrato 245-2026 cuyo objeto es: Prestar servicios profesionales jurídicos para apoyar la instrucción y demás actuaciones que deban surtirse en los procesos disciplinarios adelantados por la Oficina de Control Disciplinario Interno.</v>
      </c>
    </row>
    <row r="995" spans="2:35" ht="70" x14ac:dyDescent="0.35">
      <c r="B995" s="137">
        <v>20261041</v>
      </c>
      <c r="C995" s="117" t="s">
        <v>1271</v>
      </c>
      <c r="D995" s="125" t="s">
        <v>105</v>
      </c>
      <c r="E995" s="125" t="s">
        <v>363</v>
      </c>
      <c r="F995" s="125" t="s">
        <v>144</v>
      </c>
      <c r="G995" s="126" t="s">
        <v>384</v>
      </c>
      <c r="H995" s="132">
        <v>0</v>
      </c>
      <c r="I995" s="132">
        <v>29</v>
      </c>
      <c r="J995" s="127">
        <v>6766667</v>
      </c>
      <c r="K995" s="128" t="s">
        <v>398</v>
      </c>
      <c r="L995" s="176" t="s">
        <v>46</v>
      </c>
      <c r="M995" s="174" t="s">
        <v>1228</v>
      </c>
      <c r="N995" s="125" t="s">
        <v>197</v>
      </c>
      <c r="O995" s="174" t="s">
        <v>886</v>
      </c>
      <c r="P995" s="174" t="s">
        <v>348</v>
      </c>
      <c r="Q995" s="129">
        <v>80111600</v>
      </c>
      <c r="R995" s="174" t="s">
        <v>208</v>
      </c>
      <c r="S995" s="174" t="str">
        <f>MID(PAA[[#This Row],[Meta Proyecto de Inversión]],1,4)</f>
        <v>8126</v>
      </c>
      <c r="T995" s="174" t="str">
        <f>MID(PAA[[#This Row],[Meta Proyecto de Inversión]],6,2)</f>
        <v>9-</v>
      </c>
      <c r="U995" s="179" t="str">
        <f>IFERROR(VLOOKUP(N995,TD!$B$54:$F$58,2,0)," ")</f>
        <v>O230117</v>
      </c>
      <c r="V995" s="179" t="str">
        <f>IFERROR(VLOOKUP(N995,TD!$B$54:$F$58,3,0)," ")</f>
        <v>4599</v>
      </c>
      <c r="W995" s="179">
        <f>IFERROR(VLOOKUP(N995,TD!$B$54:$F$58,4,0)," ")</f>
        <v>20240207</v>
      </c>
      <c r="X995" s="174" t="s">
        <v>174</v>
      </c>
      <c r="Y995" s="187" t="str">
        <f>IFERROR(VLOOKUP(X995,TD!$J$55:$K$68,2,0)," ")</f>
        <v>Infraestructura física, mantenimiento y dotación (Sedes construidas, mantenidas reforzadas)</v>
      </c>
      <c r="Z995" s="180" t="str">
        <f>CONCATENATE(X995,"-",Y995)</f>
        <v>08-Infraestructura física, mantenimiento y dotación (Sedes construidas, mantenidas reforzadas)</v>
      </c>
      <c r="AA995" s="174" t="s">
        <v>227</v>
      </c>
      <c r="AB995" s="187" t="str">
        <f>IFERROR(VLOOKUP(AA995,TD!$N$55:$O$70,2,0)," ")</f>
        <v>Sedes mantenidas</v>
      </c>
      <c r="AC995" s="168" t="str">
        <f>CONCATENATE(AA995,"_",AB995)</f>
        <v>016_Sedes mantenidas</v>
      </c>
      <c r="AD995" s="180" t="str">
        <f>CONCATENATE(Z995," ",AC995)</f>
        <v>08-Infraestructura física, mantenimiento y dotación (Sedes construidas, mantenidas reforzadas) 016_Sedes mantenidas</v>
      </c>
      <c r="AE995" s="179" t="str">
        <f>CONCATENATE(U995,V995,W995,X995,AA995)</f>
        <v>O23011745992024020708016</v>
      </c>
      <c r="AF995" s="172" t="str">
        <f>IFERROR(VLOOKUP(AD995,TD!$J$70:$K$93,2,0)," ")</f>
        <v>PM/0131/0108/45990160207</v>
      </c>
      <c r="AG995" s="130" t="s">
        <v>385</v>
      </c>
      <c r="AH995" s="181" t="s">
        <v>194</v>
      </c>
      <c r="AI995" s="184" t="str">
        <f>CONCATENATE(PAA[[#This Row],[Id Interno]],"-",PAA[[#This Row],[tipo de Contrato (TH talento humano - B/S bienes y/o servicios)]],"-",S995,"-",T995,"-",PAA[[#This Row],[Objeto de la contratación]])</f>
        <v xml:space="preserve">20261041-TH-8126-9--Adición y prórroga del Contrato 200-2026 cuyo objeto es: Prestar servicios profesionales jurídicos para apoyar la instrucción y demás actuaciones que deban surtirse en los procesos disciplinarios adelantados por la Oficina de Control Disciplinario Interno. </v>
      </c>
    </row>
    <row r="996" spans="2:35" ht="70" x14ac:dyDescent="0.35">
      <c r="B996" s="137">
        <v>20261042</v>
      </c>
      <c r="C996" s="117" t="s">
        <v>1272</v>
      </c>
      <c r="D996" s="125" t="s">
        <v>105</v>
      </c>
      <c r="E996" s="125" t="s">
        <v>363</v>
      </c>
      <c r="F996" s="125" t="s">
        <v>144</v>
      </c>
      <c r="G996" s="126" t="s">
        <v>383</v>
      </c>
      <c r="H996" s="132">
        <v>1</v>
      </c>
      <c r="I996" s="132">
        <v>9</v>
      </c>
      <c r="J996" s="127">
        <v>9100000</v>
      </c>
      <c r="K996" s="128" t="s">
        <v>398</v>
      </c>
      <c r="L996" s="176" t="s">
        <v>46</v>
      </c>
      <c r="M996" s="174" t="s">
        <v>1228</v>
      </c>
      <c r="N996" s="125" t="s">
        <v>197</v>
      </c>
      <c r="O996" s="174" t="s">
        <v>886</v>
      </c>
      <c r="P996" s="174" t="s">
        <v>348</v>
      </c>
      <c r="Q996" s="129">
        <v>80111600</v>
      </c>
      <c r="R996" s="174" t="s">
        <v>208</v>
      </c>
      <c r="S996" s="174" t="str">
        <f>MID(PAA[[#This Row],[Meta Proyecto de Inversión]],1,4)</f>
        <v>8126</v>
      </c>
      <c r="T996" s="174" t="str">
        <f>MID(PAA[[#This Row],[Meta Proyecto de Inversión]],6,2)</f>
        <v>9-</v>
      </c>
      <c r="U996" s="179" t="str">
        <f>IFERROR(VLOOKUP(N996,TD!$B$54:$F$58,2,0)," ")</f>
        <v>O230117</v>
      </c>
      <c r="V996" s="179" t="str">
        <f>IFERROR(VLOOKUP(N996,TD!$B$54:$F$58,3,0)," ")</f>
        <v>4599</v>
      </c>
      <c r="W996" s="179">
        <f>IFERROR(VLOOKUP(N996,TD!$B$54:$F$58,4,0)," ")</f>
        <v>20240207</v>
      </c>
      <c r="X996" s="174" t="s">
        <v>174</v>
      </c>
      <c r="Y996" s="187" t="str">
        <f>IFERROR(VLOOKUP(X996,TD!$J$55:$K$68,2,0)," ")</f>
        <v>Infraestructura física, mantenimiento y dotación (Sedes construidas, mantenidas reforzadas)</v>
      </c>
      <c r="Z996" s="180" t="str">
        <f>CONCATENATE(X996,"-",Y996)</f>
        <v>08-Infraestructura física, mantenimiento y dotación (Sedes construidas, mantenidas reforzadas)</v>
      </c>
      <c r="AA996" s="174" t="s">
        <v>227</v>
      </c>
      <c r="AB996" s="187" t="str">
        <f>IFERROR(VLOOKUP(AA996,TD!$N$55:$O$70,2,0)," ")</f>
        <v>Sedes mantenidas</v>
      </c>
      <c r="AC996" s="180" t="str">
        <f>CONCATENATE(AA996,"_",AB996)</f>
        <v>016_Sedes mantenidas</v>
      </c>
      <c r="AD996" s="180" t="str">
        <f>CONCATENATE(Z996," ",AC996)</f>
        <v>08-Infraestructura física, mantenimiento y dotación (Sedes construidas, mantenidas reforzadas) 016_Sedes mantenidas</v>
      </c>
      <c r="AE996" s="179" t="str">
        <f>CONCATENATE(U996,V996,W996,X996,AA996)</f>
        <v>O23011745992024020708016</v>
      </c>
      <c r="AF996" s="172" t="str">
        <f>IFERROR(VLOOKUP(AD996,TD!$J$70:$K$93,2,0)," ")</f>
        <v>PM/0131/0108/45990160207</v>
      </c>
      <c r="AG996" s="130" t="s">
        <v>385</v>
      </c>
      <c r="AH996" s="181" t="s">
        <v>194</v>
      </c>
      <c r="AI996" s="184" t="str">
        <f>CONCATENATE(PAA[[#This Row],[Id Interno]],"-",PAA[[#This Row],[tipo de Contrato (TH talento humano - B/S bienes y/o servicios)]],"-",S996,"-",T996,"-",PAA[[#This Row],[Objeto de la contratación]])</f>
        <v>20261042-TH-8126-9--Adición y prórroga del Contrato 145-2026 cuyo objeto es: Prestar servicios profesionales jurídicos para apoyar la instrucción y demás actuaciones que deban surtirse en los procesos disciplinarios adelantados por la Oficina de Control Disciplinario Interno.</v>
      </c>
    </row>
    <row r="997" spans="2:35" ht="70" x14ac:dyDescent="0.35">
      <c r="B997" s="137">
        <v>20261043</v>
      </c>
      <c r="C997" s="117" t="s">
        <v>1273</v>
      </c>
      <c r="D997" s="125" t="s">
        <v>105</v>
      </c>
      <c r="E997" s="125" t="s">
        <v>363</v>
      </c>
      <c r="F997" s="125" t="s">
        <v>144</v>
      </c>
      <c r="G997" s="126" t="s">
        <v>383</v>
      </c>
      <c r="H997" s="132">
        <v>1</v>
      </c>
      <c r="I997" s="132">
        <v>2</v>
      </c>
      <c r="J997" s="127">
        <v>7466667</v>
      </c>
      <c r="K997" s="128" t="s">
        <v>398</v>
      </c>
      <c r="L997" s="176" t="s">
        <v>46</v>
      </c>
      <c r="M997" s="174" t="s">
        <v>1228</v>
      </c>
      <c r="N997" s="125" t="s">
        <v>197</v>
      </c>
      <c r="O997" s="174" t="s">
        <v>886</v>
      </c>
      <c r="P997" s="174" t="s">
        <v>348</v>
      </c>
      <c r="Q997" s="129">
        <v>80111600</v>
      </c>
      <c r="R997" s="174" t="s">
        <v>208</v>
      </c>
      <c r="S997" s="174" t="str">
        <f>MID(PAA[[#This Row],[Meta Proyecto de Inversión]],1,4)</f>
        <v>8126</v>
      </c>
      <c r="T997" s="174" t="str">
        <f>MID(PAA[[#This Row],[Meta Proyecto de Inversión]],6,2)</f>
        <v>9-</v>
      </c>
      <c r="U997" s="179" t="str">
        <f>IFERROR(VLOOKUP(N997,TD!$B$54:$F$58,2,0)," ")</f>
        <v>O230117</v>
      </c>
      <c r="V997" s="179" t="str">
        <f>IFERROR(VLOOKUP(N997,TD!$B$54:$F$58,3,0)," ")</f>
        <v>4599</v>
      </c>
      <c r="W997" s="179">
        <f>IFERROR(VLOOKUP(N997,TD!$B$54:$F$58,4,0)," ")</f>
        <v>20240207</v>
      </c>
      <c r="X997" s="174" t="s">
        <v>174</v>
      </c>
      <c r="Y997" s="187" t="str">
        <f>IFERROR(VLOOKUP(X997,TD!$J$55:$K$68,2,0)," ")</f>
        <v>Infraestructura física, mantenimiento y dotación (Sedes construidas, mantenidas reforzadas)</v>
      </c>
      <c r="Z997" s="180" t="str">
        <f>CONCATENATE(X997,"-",Y997)</f>
        <v>08-Infraestructura física, mantenimiento y dotación (Sedes construidas, mantenidas reforzadas)</v>
      </c>
      <c r="AA997" s="174" t="s">
        <v>227</v>
      </c>
      <c r="AB997" s="187" t="str">
        <f>IFERROR(VLOOKUP(AA997,TD!$N$55:$O$70,2,0)," ")</f>
        <v>Sedes mantenidas</v>
      </c>
      <c r="AC997" s="180" t="str">
        <f>CONCATENATE(AA997,"_",AB997)</f>
        <v>016_Sedes mantenidas</v>
      </c>
      <c r="AD997" s="180" t="str">
        <f>CONCATENATE(Z997," ",AC997)</f>
        <v>08-Infraestructura física, mantenimiento y dotación (Sedes construidas, mantenidas reforzadas) 016_Sedes mantenidas</v>
      </c>
      <c r="AE997" s="179" t="str">
        <f>CONCATENATE(U997,V997,W997,X997,AA997)</f>
        <v>O23011745992024020708016</v>
      </c>
      <c r="AF997" s="172" t="str">
        <f>IFERROR(VLOOKUP(AD997,TD!$J$70:$K$93,2,0)," ")</f>
        <v>PM/0131/0108/45990160207</v>
      </c>
      <c r="AG997" s="130" t="s">
        <v>385</v>
      </c>
      <c r="AH997" s="181" t="s">
        <v>194</v>
      </c>
      <c r="AI997" s="184" t="str">
        <f>CONCATENATE(PAA[[#This Row],[Id Interno]],"-",PAA[[#This Row],[tipo de Contrato (TH talento humano - B/S bienes y/o servicios)]],"-",S997,"-",T997,"-",PAA[[#This Row],[Objeto de la contratación]])</f>
        <v>20261043-TH-8126-9--Adición y prórroga del Contrato 199-2026 cuyo objeto es: Prestar servicios profesionales jurídicos para apoyar la instrucción y demás actuaciones que deban surtirse en los procesos disciplinarios adelantados por la Oficina de Control Disciplinario Interno.</v>
      </c>
    </row>
    <row r="998" spans="2:35" ht="70" x14ac:dyDescent="0.35">
      <c r="B998" s="137">
        <v>20261044</v>
      </c>
      <c r="C998" s="117" t="s">
        <v>1274</v>
      </c>
      <c r="D998" s="125" t="s">
        <v>105</v>
      </c>
      <c r="E998" s="125" t="s">
        <v>363</v>
      </c>
      <c r="F998" s="125" t="s">
        <v>144</v>
      </c>
      <c r="G998" s="126" t="s">
        <v>384</v>
      </c>
      <c r="H998" s="132">
        <v>0</v>
      </c>
      <c r="I998" s="132">
        <v>23</v>
      </c>
      <c r="J998" s="127">
        <v>5366667</v>
      </c>
      <c r="K998" s="128" t="s">
        <v>398</v>
      </c>
      <c r="L998" s="176" t="s">
        <v>46</v>
      </c>
      <c r="M998" s="174" t="s">
        <v>1228</v>
      </c>
      <c r="N998" s="125" t="s">
        <v>197</v>
      </c>
      <c r="O998" s="174" t="s">
        <v>886</v>
      </c>
      <c r="P998" s="174" t="s">
        <v>348</v>
      </c>
      <c r="Q998" s="129">
        <v>80111600</v>
      </c>
      <c r="R998" s="174" t="s">
        <v>208</v>
      </c>
      <c r="S998" s="174" t="str">
        <f>MID(PAA[[#This Row],[Meta Proyecto de Inversión]],1,4)</f>
        <v>8126</v>
      </c>
      <c r="T998" s="174" t="str">
        <f>MID(PAA[[#This Row],[Meta Proyecto de Inversión]],6,2)</f>
        <v>9-</v>
      </c>
      <c r="U998" s="179" t="str">
        <f>IFERROR(VLOOKUP(N998,TD!$B$54:$F$58,2,0)," ")</f>
        <v>O230117</v>
      </c>
      <c r="V998" s="179" t="str">
        <f>IFERROR(VLOOKUP(N998,TD!$B$54:$F$58,3,0)," ")</f>
        <v>4599</v>
      </c>
      <c r="W998" s="179">
        <f>IFERROR(VLOOKUP(N998,TD!$B$54:$F$58,4,0)," ")</f>
        <v>20240207</v>
      </c>
      <c r="X998" s="174" t="s">
        <v>174</v>
      </c>
      <c r="Y998" s="187" t="str">
        <f>IFERROR(VLOOKUP(X998,TD!$J$55:$K$68,2,0)," ")</f>
        <v>Infraestructura física, mantenimiento y dotación (Sedes construidas, mantenidas reforzadas)</v>
      </c>
      <c r="Z998" s="180" t="str">
        <f>CONCATENATE(X998,"-",Y998)</f>
        <v>08-Infraestructura física, mantenimiento y dotación (Sedes construidas, mantenidas reforzadas)</v>
      </c>
      <c r="AA998" s="174" t="s">
        <v>227</v>
      </c>
      <c r="AB998" s="187" t="str">
        <f>IFERROR(VLOOKUP(AA998,TD!$N$55:$O$70,2,0)," ")</f>
        <v>Sedes mantenidas</v>
      </c>
      <c r="AC998" s="180" t="str">
        <f>CONCATENATE(AA998,"_",AB998)</f>
        <v>016_Sedes mantenidas</v>
      </c>
      <c r="AD998" s="180" t="str">
        <f>CONCATENATE(Z998," ",AC998)</f>
        <v>08-Infraestructura física, mantenimiento y dotación (Sedes construidas, mantenidas reforzadas) 016_Sedes mantenidas</v>
      </c>
      <c r="AE998" s="179" t="str">
        <f>CONCATENATE(U998,V998,W998,X998,AA998)</f>
        <v>O23011745992024020708016</v>
      </c>
      <c r="AF998" s="172" t="str">
        <f>IFERROR(VLOOKUP(AD998,TD!$J$70:$K$93,2,0)," ")</f>
        <v>PM/0131/0108/45990160207</v>
      </c>
      <c r="AG998" s="130" t="s">
        <v>385</v>
      </c>
      <c r="AH998" s="181" t="s">
        <v>194</v>
      </c>
      <c r="AI998" s="184" t="str">
        <f>CONCATENATE(PAA[[#This Row],[Id Interno]],"-",PAA[[#This Row],[tipo de Contrato (TH talento humano - B/S bienes y/o servicios)]],"-",S998,"-",T998,"-",PAA[[#This Row],[Objeto de la contratación]])</f>
        <v>20261044-TH-8126-9--Adición y prórroga del Contrato 558-2026 cuyo objeto es: Prestar servicios profesionales jurídicos para apoyar la instrucción y demás actuaciones que deban surtirse en los procesos disciplinarios adelantados por la Oficina de Control Disciplinario Interno.</v>
      </c>
    </row>
    <row r="999" spans="2:35" ht="70" x14ac:dyDescent="0.35">
      <c r="B999" s="137">
        <v>20261045</v>
      </c>
      <c r="C999" s="117" t="s">
        <v>1275</v>
      </c>
      <c r="D999" s="125" t="s">
        <v>105</v>
      </c>
      <c r="E999" s="125" t="s">
        <v>363</v>
      </c>
      <c r="F999" s="125" t="s">
        <v>144</v>
      </c>
      <c r="G999" s="126" t="s">
        <v>382</v>
      </c>
      <c r="H999" s="132">
        <v>2</v>
      </c>
      <c r="I999" s="132">
        <v>21</v>
      </c>
      <c r="J999" s="127">
        <v>16200000</v>
      </c>
      <c r="K999" s="128" t="s">
        <v>398</v>
      </c>
      <c r="L999" s="176" t="s">
        <v>46</v>
      </c>
      <c r="M999" s="174" t="s">
        <v>1228</v>
      </c>
      <c r="N999" s="125" t="s">
        <v>197</v>
      </c>
      <c r="O999" s="174" t="s">
        <v>886</v>
      </c>
      <c r="P999" s="174" t="s">
        <v>348</v>
      </c>
      <c r="Q999" s="129">
        <v>80111600</v>
      </c>
      <c r="R999" s="174" t="s">
        <v>208</v>
      </c>
      <c r="S999" s="174" t="str">
        <f>MID(PAA[[#This Row],[Meta Proyecto de Inversión]],1,4)</f>
        <v>8126</v>
      </c>
      <c r="T999" s="174" t="str">
        <f>MID(PAA[[#This Row],[Meta Proyecto de Inversión]],6,2)</f>
        <v>9-</v>
      </c>
      <c r="U999" s="179" t="str">
        <f>IFERROR(VLOOKUP(N999,TD!$B$54:$F$58,2,0)," ")</f>
        <v>O230117</v>
      </c>
      <c r="V999" s="179" t="str">
        <f>IFERROR(VLOOKUP(N999,TD!$B$54:$F$58,3,0)," ")</f>
        <v>4599</v>
      </c>
      <c r="W999" s="179">
        <f>IFERROR(VLOOKUP(N999,TD!$B$54:$F$58,4,0)," ")</f>
        <v>20240207</v>
      </c>
      <c r="X999" s="174" t="s">
        <v>174</v>
      </c>
      <c r="Y999" s="187" t="str">
        <f>IFERROR(VLOOKUP(X999,TD!$J$55:$K$68,2,0)," ")</f>
        <v>Infraestructura física, mantenimiento y dotación (Sedes construidas, mantenidas reforzadas)</v>
      </c>
      <c r="Z999" s="180" t="str">
        <f>CONCATENATE(X999,"-",Y999)</f>
        <v>08-Infraestructura física, mantenimiento y dotación (Sedes construidas, mantenidas reforzadas)</v>
      </c>
      <c r="AA999" s="174" t="s">
        <v>227</v>
      </c>
      <c r="AB999" s="187" t="str">
        <f>IFERROR(VLOOKUP(AA999,TD!$N$55:$O$70,2,0)," ")</f>
        <v>Sedes mantenidas</v>
      </c>
      <c r="AC999" s="180" t="str">
        <f>CONCATENATE(AA999,"_",AB999)</f>
        <v>016_Sedes mantenidas</v>
      </c>
      <c r="AD999" s="180" t="str">
        <f>CONCATENATE(Z999," ",AC999)</f>
        <v>08-Infraestructura física, mantenimiento y dotación (Sedes construidas, mantenidas reforzadas) 016_Sedes mantenidas</v>
      </c>
      <c r="AE999" s="179" t="str">
        <f>CONCATENATE(U999,V999,W999,X999,AA999)</f>
        <v>O23011745992024020708016</v>
      </c>
      <c r="AF999" s="172" t="str">
        <f>IFERROR(VLOOKUP(AD999,TD!$J$70:$K$93,2,0)," ")</f>
        <v>PM/0131/0108/45990160207</v>
      </c>
      <c r="AG999" s="130" t="s">
        <v>385</v>
      </c>
      <c r="AH999" s="181" t="s">
        <v>194</v>
      </c>
      <c r="AI999" s="184" t="str">
        <f>CONCATENATE(PAA[[#This Row],[Id Interno]],"-",PAA[[#This Row],[tipo de Contrato (TH talento humano - B/S bienes y/o servicios)]],"-",S999,"-",T999,"-",PAA[[#This Row],[Objeto de la contratación]])</f>
        <v>20261045-TH-8126-9--Adición y prórroga del Contrato 201-2026 cuyo objeto es: Prestar servicios profesionales para ejercer las labores de secretaría común y actividades jurídicas que requieren las actuaciones disciplinarias en etapa de instrucción adelantadas por la Oficina de Control Disciplinario Interno.</v>
      </c>
    </row>
    <row r="1000" spans="2:35" ht="70" x14ac:dyDescent="0.35">
      <c r="B1000" s="137">
        <v>20261046</v>
      </c>
      <c r="C1000" s="117" t="s">
        <v>1276</v>
      </c>
      <c r="D1000" s="125" t="s">
        <v>105</v>
      </c>
      <c r="E1000" s="125" t="s">
        <v>363</v>
      </c>
      <c r="F1000" s="125" t="s">
        <v>144</v>
      </c>
      <c r="G1000" s="126" t="s">
        <v>384</v>
      </c>
      <c r="H1000" s="132">
        <v>0</v>
      </c>
      <c r="I1000" s="132">
        <v>28</v>
      </c>
      <c r="J1000" s="127">
        <v>3360000</v>
      </c>
      <c r="K1000" s="128" t="s">
        <v>398</v>
      </c>
      <c r="L1000" s="176" t="s">
        <v>46</v>
      </c>
      <c r="M1000" s="174" t="s">
        <v>1228</v>
      </c>
      <c r="N1000" s="125" t="s">
        <v>197</v>
      </c>
      <c r="O1000" s="174" t="s">
        <v>886</v>
      </c>
      <c r="P1000" s="174" t="s">
        <v>348</v>
      </c>
      <c r="Q1000" s="129">
        <v>80111600</v>
      </c>
      <c r="R1000" s="174" t="s">
        <v>208</v>
      </c>
      <c r="S1000" s="174" t="str">
        <f>MID(PAA[[#This Row],[Meta Proyecto de Inversión]],1,4)</f>
        <v>8126</v>
      </c>
      <c r="T1000" s="174" t="str">
        <f>MID(PAA[[#This Row],[Meta Proyecto de Inversión]],6,2)</f>
        <v>9-</v>
      </c>
      <c r="U1000" s="179" t="str">
        <f>IFERROR(VLOOKUP(N1000,TD!$B$54:$F$58,2,0)," ")</f>
        <v>O230117</v>
      </c>
      <c r="V1000" s="179" t="str">
        <f>IFERROR(VLOOKUP(N1000,TD!$B$54:$F$58,3,0)," ")</f>
        <v>4599</v>
      </c>
      <c r="W1000" s="179">
        <f>IFERROR(VLOOKUP(N1000,TD!$B$54:$F$58,4,0)," ")</f>
        <v>20240207</v>
      </c>
      <c r="X1000" s="174" t="s">
        <v>174</v>
      </c>
      <c r="Y1000" s="187" t="str">
        <f>IFERROR(VLOOKUP(X1000,TD!$J$55:$K$68,2,0)," ")</f>
        <v>Infraestructura física, mantenimiento y dotación (Sedes construidas, mantenidas reforzadas)</v>
      </c>
      <c r="Z1000" s="180" t="str">
        <f>CONCATENATE(X1000,"-",Y1000)</f>
        <v>08-Infraestructura física, mantenimiento y dotación (Sedes construidas, mantenidas reforzadas)</v>
      </c>
      <c r="AA1000" s="174" t="s">
        <v>227</v>
      </c>
      <c r="AB1000" s="187" t="str">
        <f>IFERROR(VLOOKUP(AA1000,TD!$N$55:$O$70,2,0)," ")</f>
        <v>Sedes mantenidas</v>
      </c>
      <c r="AC1000" s="180" t="str">
        <f>CONCATENATE(AA1000,"_",AB1000)</f>
        <v>016_Sedes mantenidas</v>
      </c>
      <c r="AD1000" s="180" t="str">
        <f>CONCATENATE(Z1000," ",AC1000)</f>
        <v>08-Infraestructura física, mantenimiento y dotación (Sedes construidas, mantenidas reforzadas) 016_Sedes mantenidas</v>
      </c>
      <c r="AE1000" s="179" t="str">
        <f>CONCATENATE(U1000,V1000,W1000,X1000,AA1000)</f>
        <v>O23011745992024020708016</v>
      </c>
      <c r="AF1000" s="172" t="str">
        <f>IFERROR(VLOOKUP(AD1000,TD!$J$70:$K$93,2,0)," ")</f>
        <v>PM/0131/0108/45990160207</v>
      </c>
      <c r="AG1000" s="130" t="s">
        <v>385</v>
      </c>
      <c r="AH1000" s="181" t="s">
        <v>194</v>
      </c>
      <c r="AI1000" s="184" t="str">
        <f>CONCATENATE(PAA[[#This Row],[Id Interno]],"-",PAA[[#This Row],[tipo de Contrato (TH talento humano - B/S bienes y/o servicios)]],"-",S1000,"-",T1000,"-",PAA[[#This Row],[Objeto de la contratación]])</f>
        <v>20261046-TH-8126-9--Adición y prórroga del Contrato 203-2026 cuyo objeto es: Prestación de servicios de apoyo técnico a la Oficina de Control Disciplinario Interno de la UAECOB para la gestión y cumplimiento de las funciones administrativas asignadas.</v>
      </c>
    </row>
    <row r="1001" spans="2:35" ht="56" x14ac:dyDescent="0.35">
      <c r="B1001" s="137">
        <v>20261047</v>
      </c>
      <c r="C1001" s="117" t="s">
        <v>1277</v>
      </c>
      <c r="D1001" s="125" t="s">
        <v>105</v>
      </c>
      <c r="E1001" s="125" t="s">
        <v>363</v>
      </c>
      <c r="F1001" s="125" t="s">
        <v>144</v>
      </c>
      <c r="G1001" s="126" t="s">
        <v>382</v>
      </c>
      <c r="H1001" s="132">
        <v>2</v>
      </c>
      <c r="I1001" s="132">
        <v>5</v>
      </c>
      <c r="J1001" s="127">
        <v>6066667</v>
      </c>
      <c r="K1001" s="128" t="s">
        <v>398</v>
      </c>
      <c r="L1001" s="176" t="s">
        <v>46</v>
      </c>
      <c r="M1001" s="174" t="s">
        <v>1228</v>
      </c>
      <c r="N1001" s="125" t="s">
        <v>197</v>
      </c>
      <c r="O1001" s="174" t="s">
        <v>886</v>
      </c>
      <c r="P1001" s="174" t="s">
        <v>348</v>
      </c>
      <c r="Q1001" s="129">
        <v>80111600</v>
      </c>
      <c r="R1001" s="174" t="s">
        <v>208</v>
      </c>
      <c r="S1001" s="174" t="str">
        <f>MID(PAA[[#This Row],[Meta Proyecto de Inversión]],1,4)</f>
        <v>8126</v>
      </c>
      <c r="T1001" s="174" t="str">
        <f>MID(PAA[[#This Row],[Meta Proyecto de Inversión]],6,2)</f>
        <v>9-</v>
      </c>
      <c r="U1001" s="179" t="str">
        <f>IFERROR(VLOOKUP(N1001,TD!$B$54:$F$58,2,0)," ")</f>
        <v>O230117</v>
      </c>
      <c r="V1001" s="179" t="str">
        <f>IFERROR(VLOOKUP(N1001,TD!$B$54:$F$58,3,0)," ")</f>
        <v>4599</v>
      </c>
      <c r="W1001" s="179">
        <f>IFERROR(VLOOKUP(N1001,TD!$B$54:$F$58,4,0)," ")</f>
        <v>20240207</v>
      </c>
      <c r="X1001" s="174" t="s">
        <v>174</v>
      </c>
      <c r="Y1001" s="187" t="str">
        <f>IFERROR(VLOOKUP(X1001,TD!$J$55:$K$68,2,0)," ")</f>
        <v>Infraestructura física, mantenimiento y dotación (Sedes construidas, mantenidas reforzadas)</v>
      </c>
      <c r="Z1001" s="180" t="str">
        <f>CONCATENATE(X1001,"-",Y1001)</f>
        <v>08-Infraestructura física, mantenimiento y dotación (Sedes construidas, mantenidas reforzadas)</v>
      </c>
      <c r="AA1001" s="174" t="s">
        <v>227</v>
      </c>
      <c r="AB1001" s="187" t="str">
        <f>IFERROR(VLOOKUP(AA1001,TD!$N$55:$O$70,2,0)," ")</f>
        <v>Sedes mantenidas</v>
      </c>
      <c r="AC1001" s="180" t="str">
        <f>CONCATENATE(AA1001,"_",AB1001)</f>
        <v>016_Sedes mantenidas</v>
      </c>
      <c r="AD1001" s="180" t="str">
        <f>CONCATENATE(Z1001," ",AC1001)</f>
        <v>08-Infraestructura física, mantenimiento y dotación (Sedes construidas, mantenidas reforzadas) 016_Sedes mantenidas</v>
      </c>
      <c r="AE1001" s="179" t="str">
        <f>CONCATENATE(U1001,V1001,W1001,X1001,AA1001)</f>
        <v>O23011745992024020708016</v>
      </c>
      <c r="AF1001" s="172" t="str">
        <f>IFERROR(VLOOKUP(AD1001,TD!$J$70:$K$93,2,0)," ")</f>
        <v>PM/0131/0108/45990160207</v>
      </c>
      <c r="AG1001" s="130" t="s">
        <v>385</v>
      </c>
      <c r="AH1001" s="181" t="s">
        <v>194</v>
      </c>
      <c r="AI1001" s="184" t="str">
        <f>CONCATENATE(PAA[[#This Row],[Id Interno]],"-",PAA[[#This Row],[tipo de Contrato (TH talento humano - B/S bienes y/o servicios)]],"-",S1001,"-",T1001,"-",PAA[[#This Row],[Objeto de la contratación]])</f>
        <v xml:space="preserve">20261047-TH-8126-9--Adición y prórroga del Contrato 204-2026 cuyo objeto es: Prestación de servicios de apoyo administrativo y de gestión documental a la Oficina de Control Disciplinario Interno de la UAECOB, en el manejo y organización de la documentación propia de los expedientes disciplinarios y las actividades de archivo que se requieran. </v>
      </c>
    </row>
    <row r="1002" spans="2:35" ht="84" x14ac:dyDescent="0.35">
      <c r="B1002" s="137">
        <v>20261048</v>
      </c>
      <c r="C1002" s="117" t="s">
        <v>1278</v>
      </c>
      <c r="D1002" s="125" t="s">
        <v>105</v>
      </c>
      <c r="E1002" s="125" t="s">
        <v>363</v>
      </c>
      <c r="F1002" s="125" t="s">
        <v>144</v>
      </c>
      <c r="G1002" s="126" t="s">
        <v>383</v>
      </c>
      <c r="H1002" s="132">
        <v>1</v>
      </c>
      <c r="I1002" s="132">
        <v>15</v>
      </c>
      <c r="J1002" s="127">
        <v>10050000</v>
      </c>
      <c r="K1002" s="128" t="s">
        <v>398</v>
      </c>
      <c r="L1002" s="176" t="s">
        <v>158</v>
      </c>
      <c r="M1002" s="174" t="s">
        <v>421</v>
      </c>
      <c r="N1002" s="125" t="s">
        <v>198</v>
      </c>
      <c r="O1002" s="174" t="s">
        <v>887</v>
      </c>
      <c r="P1002" s="174" t="s">
        <v>348</v>
      </c>
      <c r="Q1002" s="129">
        <v>80111600</v>
      </c>
      <c r="R1002" s="174" t="s">
        <v>211</v>
      </c>
      <c r="S1002" s="174" t="str">
        <f>MID(PAA[[#This Row],[Meta Proyecto de Inversión]],1,4)</f>
        <v>8173</v>
      </c>
      <c r="T1002" s="174" t="str">
        <f>MID(PAA[[#This Row],[Meta Proyecto de Inversión]],6,2)</f>
        <v>2-</v>
      </c>
      <c r="U1002" s="179" t="str">
        <f>IFERROR(VLOOKUP(N1002,TD!$B$54:$F$58,2,0)," ")</f>
        <v>O230117</v>
      </c>
      <c r="V1002" s="179" t="str">
        <f>IFERROR(VLOOKUP(N1002,TD!$B$54:$F$58,3,0)," ")</f>
        <v>4503</v>
      </c>
      <c r="W1002" s="179">
        <f>IFERROR(VLOOKUP(N1002,TD!$B$54:$F$58,4,0)," ")</f>
        <v>20240255</v>
      </c>
      <c r="X1002" s="174" t="s">
        <v>164</v>
      </c>
      <c r="Y1002" s="187" t="str">
        <f>IFERROR(VLOOKUP(X1002,TD!$J$55:$K$68,2,0)," ")</f>
        <v>Servicio de atención a incidentes y emergencias.</v>
      </c>
      <c r="Z1002" s="180" t="str">
        <f>CONCATENATE(X1002,"-",Y1002)</f>
        <v>04-Servicio de atención a incidentes y emergencias.</v>
      </c>
      <c r="AA1002" s="174" t="s">
        <v>221</v>
      </c>
      <c r="AB1002" s="187" t="str">
        <f>IFERROR(VLOOKUP(AA1002,TD!$N$55:$O$70,2,0)," ")</f>
        <v>Servicio de atención a emergencias y desastres</v>
      </c>
      <c r="AC1002" s="180" t="str">
        <f>CONCATENATE(AA1002,"_",AB1002)</f>
        <v>004_Servicio de atención a emergencias y desastres</v>
      </c>
      <c r="AD1002" s="180" t="str">
        <f>CONCATENATE(Z1002," ",AC1002)</f>
        <v>04-Servicio de atención a incidentes y emergencias. 004_Servicio de atención a emergencias y desastres</v>
      </c>
      <c r="AE1002" s="179" t="str">
        <f>CONCATENATE(U1002,V1002,W1002,X1002,AA1002)</f>
        <v>O23011745032024025504004</v>
      </c>
      <c r="AF1002" s="172" t="str">
        <f>IFERROR(VLOOKUP(AD1002,TD!$J$70:$K$93,2,0)," ")</f>
        <v>PM/0131/0104/45030040255</v>
      </c>
      <c r="AG1002" s="130" t="s">
        <v>385</v>
      </c>
      <c r="AH1002" s="181" t="s">
        <v>194</v>
      </c>
      <c r="AI1002" s="184" t="str">
        <f>CONCATENATE(PAA[[#This Row],[Id Interno]],"-",PAA[[#This Row],[tipo de Contrato (TH talento humano - B/S bienes y/o servicios)]],"-",S1002,"-",T1002,"-",PAA[[#This Row],[Objeto de la contratación]])</f>
        <v>20261048-TH-8173-2--ADICIÓN Y PRÓRROGA AL CONTRATO DE PRESTACIÓN DE SERVICIOS #077-2026, cuyo objeto es: Prestación de servicios profesionales para ejecutar las actividades relacionadas con el sistema de gestión de calidad, el sistema ambiental y el sistema de control interno, para el desarrollo los programas de la Subdireccion Operativa-S.O.</v>
      </c>
    </row>
    <row r="1003" spans="2:35" ht="84" x14ac:dyDescent="0.35">
      <c r="B1003" s="137">
        <v>20261049</v>
      </c>
      <c r="C1003" s="117" t="s">
        <v>1279</v>
      </c>
      <c r="D1003" s="125" t="s">
        <v>105</v>
      </c>
      <c r="E1003" s="125" t="s">
        <v>363</v>
      </c>
      <c r="F1003" s="125" t="s">
        <v>145</v>
      </c>
      <c r="G1003" s="126" t="s">
        <v>383</v>
      </c>
      <c r="H1003" s="132">
        <v>1</v>
      </c>
      <c r="I1003" s="132">
        <v>0</v>
      </c>
      <c r="J1003" s="127">
        <v>3284000</v>
      </c>
      <c r="K1003" s="128" t="s">
        <v>398</v>
      </c>
      <c r="L1003" s="176" t="s">
        <v>158</v>
      </c>
      <c r="M1003" s="174" t="s">
        <v>421</v>
      </c>
      <c r="N1003" s="125" t="s">
        <v>198</v>
      </c>
      <c r="O1003" s="174" t="s">
        <v>887</v>
      </c>
      <c r="P1003" s="174" t="s">
        <v>348</v>
      </c>
      <c r="Q1003" s="129">
        <v>80111600</v>
      </c>
      <c r="R1003" s="174" t="s">
        <v>211</v>
      </c>
      <c r="S1003" s="174" t="str">
        <f>MID(PAA[[#This Row],[Meta Proyecto de Inversión]],1,4)</f>
        <v>8173</v>
      </c>
      <c r="T1003" s="174" t="str">
        <f>MID(PAA[[#This Row],[Meta Proyecto de Inversión]],6,2)</f>
        <v>2-</v>
      </c>
      <c r="U1003" s="179" t="str">
        <f>IFERROR(VLOOKUP(N1003,TD!$B$54:$F$58,2,0)," ")</f>
        <v>O230117</v>
      </c>
      <c r="V1003" s="179" t="str">
        <f>IFERROR(VLOOKUP(N1003,TD!$B$54:$F$58,3,0)," ")</f>
        <v>4503</v>
      </c>
      <c r="W1003" s="179">
        <f>IFERROR(VLOOKUP(N1003,TD!$B$54:$F$58,4,0)," ")</f>
        <v>20240255</v>
      </c>
      <c r="X1003" s="174" t="s">
        <v>164</v>
      </c>
      <c r="Y1003" s="187" t="str">
        <f>IFERROR(VLOOKUP(X1003,TD!$J$55:$K$68,2,0)," ")</f>
        <v>Servicio de atención a incidentes y emergencias.</v>
      </c>
      <c r="Z1003" s="180" t="str">
        <f>CONCATENATE(X1003,"-",Y1003)</f>
        <v>04-Servicio de atención a incidentes y emergencias.</v>
      </c>
      <c r="AA1003" s="174" t="s">
        <v>221</v>
      </c>
      <c r="AB1003" s="187" t="str">
        <f>IFERROR(VLOOKUP(AA1003,TD!$N$55:$O$70,2,0)," ")</f>
        <v>Servicio de atención a emergencias y desastres</v>
      </c>
      <c r="AC1003" s="180" t="str">
        <f>CONCATENATE(AA1003,"_",AB1003)</f>
        <v>004_Servicio de atención a emergencias y desastres</v>
      </c>
      <c r="AD1003" s="180" t="str">
        <f>CONCATENATE(Z1003," ",AC1003)</f>
        <v>04-Servicio de atención a incidentes y emergencias. 004_Servicio de atención a emergencias y desastres</v>
      </c>
      <c r="AE1003" s="179" t="str">
        <f>CONCATENATE(U1003,V1003,W1003,X1003,AA1003)</f>
        <v>O23011745032024025504004</v>
      </c>
      <c r="AF1003" s="172" t="str">
        <f>IFERROR(VLOOKUP(AD1003,TD!$J$70:$K$93,2,0)," ")</f>
        <v>PM/0131/0104/45030040255</v>
      </c>
      <c r="AG1003" s="130" t="s">
        <v>385</v>
      </c>
      <c r="AH1003" s="181" t="s">
        <v>194</v>
      </c>
      <c r="AI1003" s="184" t="str">
        <f>CONCATENATE(PAA[[#This Row],[Id Interno]],"-",PAA[[#This Row],[tipo de Contrato (TH talento humano - B/S bienes y/o servicios)]],"-",S1003,"-",T1003,"-",PAA[[#This Row],[Objeto de la contratación]])</f>
        <v>20261049-TH-8173-2--ADICIÓN Y PRÓRROGA AL CONTRATO DE PRESTACIÓN DE SERVICIOS # 500-2026, cuyo objeto es:Prestar los servicios de apoyo al proceso de comunicaciones en emergencias del centro de coordinación y comunicaciones (c.c.c.), para el desarrollo de los programas a cargo de la Subdirección Operativa-S.O.</v>
      </c>
    </row>
    <row r="1004" spans="2:35" ht="70" x14ac:dyDescent="0.35">
      <c r="B1004" s="137">
        <v>20261050</v>
      </c>
      <c r="C1004" s="117" t="s">
        <v>1280</v>
      </c>
      <c r="D1004" s="125" t="s">
        <v>105</v>
      </c>
      <c r="E1004" s="125" t="s">
        <v>363</v>
      </c>
      <c r="F1004" s="125" t="s">
        <v>144</v>
      </c>
      <c r="G1004" s="126" t="s">
        <v>382</v>
      </c>
      <c r="H1004" s="132">
        <v>2</v>
      </c>
      <c r="I1004" s="132">
        <v>0</v>
      </c>
      <c r="J1004" s="127">
        <v>9900000</v>
      </c>
      <c r="K1004" s="128" t="s">
        <v>398</v>
      </c>
      <c r="L1004" s="176" t="s">
        <v>158</v>
      </c>
      <c r="M1004" s="174" t="s">
        <v>421</v>
      </c>
      <c r="N1004" s="125" t="s">
        <v>198</v>
      </c>
      <c r="O1004" s="174" t="s">
        <v>887</v>
      </c>
      <c r="P1004" s="174" t="s">
        <v>348</v>
      </c>
      <c r="Q1004" s="129">
        <v>80111600</v>
      </c>
      <c r="R1004" s="174" t="s">
        <v>211</v>
      </c>
      <c r="S1004" s="174" t="str">
        <f>MID(PAA[[#This Row],[Meta Proyecto de Inversión]],1,4)</f>
        <v>8173</v>
      </c>
      <c r="T1004" s="174" t="str">
        <f>MID(PAA[[#This Row],[Meta Proyecto de Inversión]],6,2)</f>
        <v>2-</v>
      </c>
      <c r="U1004" s="179" t="str">
        <f>IFERROR(VLOOKUP(N1004,TD!$B$54:$F$58,2,0)," ")</f>
        <v>O230117</v>
      </c>
      <c r="V1004" s="179" t="str">
        <f>IFERROR(VLOOKUP(N1004,TD!$B$54:$F$58,3,0)," ")</f>
        <v>4503</v>
      </c>
      <c r="W1004" s="179">
        <f>IFERROR(VLOOKUP(N1004,TD!$B$54:$F$58,4,0)," ")</f>
        <v>20240255</v>
      </c>
      <c r="X1004" s="174" t="s">
        <v>164</v>
      </c>
      <c r="Y1004" s="187" t="str">
        <f>IFERROR(VLOOKUP(X1004,TD!$J$55:$K$68,2,0)," ")</f>
        <v>Servicio de atención a incidentes y emergencias.</v>
      </c>
      <c r="Z1004" s="180" t="str">
        <f>CONCATENATE(X1004,"-",Y1004)</f>
        <v>04-Servicio de atención a incidentes y emergencias.</v>
      </c>
      <c r="AA1004" s="174" t="s">
        <v>221</v>
      </c>
      <c r="AB1004" s="187" t="str">
        <f>IFERROR(VLOOKUP(AA1004,TD!$N$55:$O$70,2,0)," ")</f>
        <v>Servicio de atención a emergencias y desastres</v>
      </c>
      <c r="AC1004" s="180" t="str">
        <f>CONCATENATE(AA1004,"_",AB1004)</f>
        <v>004_Servicio de atención a emergencias y desastres</v>
      </c>
      <c r="AD1004" s="180" t="str">
        <f>CONCATENATE(Z1004," ",AC1004)</f>
        <v>04-Servicio de atención a incidentes y emergencias. 004_Servicio de atención a emergencias y desastres</v>
      </c>
      <c r="AE1004" s="179" t="str">
        <f>CONCATENATE(U1004,V1004,W1004,X1004,AA1004)</f>
        <v>O23011745032024025504004</v>
      </c>
      <c r="AF1004" s="172" t="str">
        <f>IFERROR(VLOOKUP(AD1004,TD!$J$70:$K$93,2,0)," ")</f>
        <v>PM/0131/0104/45030040255</v>
      </c>
      <c r="AG1004" s="130" t="s">
        <v>385</v>
      </c>
      <c r="AH1004" s="181" t="s">
        <v>194</v>
      </c>
      <c r="AI1004" s="184" t="str">
        <f>CONCATENATE(PAA[[#This Row],[Id Interno]],"-",PAA[[#This Row],[tipo de Contrato (TH talento humano - B/S bienes y/o servicios)]],"-",S1004,"-",T1004,"-",PAA[[#This Row],[Objeto de la contratación]])</f>
        <v>20261050-TH-8173-2--ADICIÓN Y PRÓRROGA AL CONTRATO DE PRESTACIÓN DE SERVICIOS # 086-2026, cuyo objeto es: Prestación de servicios profesionales para realizar seguimiento y verificación  de las actividades relacionadas con la Subdirección Logística en los procesos, procedimientos y programas a cargo de la Subdirección Operativa-S.O.</v>
      </c>
    </row>
    <row r="1005" spans="2:35" ht="84" x14ac:dyDescent="0.35">
      <c r="B1005" s="137">
        <v>20261051</v>
      </c>
      <c r="C1005" s="117" t="s">
        <v>1281</v>
      </c>
      <c r="D1005" s="125" t="s">
        <v>105</v>
      </c>
      <c r="E1005" s="125" t="s">
        <v>363</v>
      </c>
      <c r="F1005" s="125" t="s">
        <v>144</v>
      </c>
      <c r="G1005" s="126" t="s">
        <v>382</v>
      </c>
      <c r="H1005" s="132">
        <v>3</v>
      </c>
      <c r="I1005" s="132">
        <v>0</v>
      </c>
      <c r="J1005" s="127">
        <v>25800000</v>
      </c>
      <c r="K1005" s="128" t="s">
        <v>398</v>
      </c>
      <c r="L1005" s="176" t="s">
        <v>158</v>
      </c>
      <c r="M1005" s="174" t="s">
        <v>421</v>
      </c>
      <c r="N1005" s="125" t="s">
        <v>198</v>
      </c>
      <c r="O1005" s="174" t="s">
        <v>887</v>
      </c>
      <c r="P1005" s="174" t="s">
        <v>348</v>
      </c>
      <c r="Q1005" s="129">
        <v>80111600</v>
      </c>
      <c r="R1005" s="174" t="s">
        <v>211</v>
      </c>
      <c r="S1005" s="174" t="str">
        <f>MID(PAA[[#This Row],[Meta Proyecto de Inversión]],1,4)</f>
        <v>8173</v>
      </c>
      <c r="T1005" s="174" t="str">
        <f>MID(PAA[[#This Row],[Meta Proyecto de Inversión]],6,2)</f>
        <v>2-</v>
      </c>
      <c r="U1005" s="179" t="str">
        <f>IFERROR(VLOOKUP(N1005,TD!$B$54:$F$58,2,0)," ")</f>
        <v>O230117</v>
      </c>
      <c r="V1005" s="179" t="str">
        <f>IFERROR(VLOOKUP(N1005,TD!$B$54:$F$58,3,0)," ")</f>
        <v>4503</v>
      </c>
      <c r="W1005" s="179">
        <f>IFERROR(VLOOKUP(N1005,TD!$B$54:$F$58,4,0)," ")</f>
        <v>20240255</v>
      </c>
      <c r="X1005" s="174" t="s">
        <v>164</v>
      </c>
      <c r="Y1005" s="187" t="str">
        <f>IFERROR(VLOOKUP(X1005,TD!$J$55:$K$68,2,0)," ")</f>
        <v>Servicio de atención a incidentes y emergencias.</v>
      </c>
      <c r="Z1005" s="180" t="str">
        <f>CONCATENATE(X1005,"-",Y1005)</f>
        <v>04-Servicio de atención a incidentes y emergencias.</v>
      </c>
      <c r="AA1005" s="174" t="s">
        <v>221</v>
      </c>
      <c r="AB1005" s="187" t="str">
        <f>IFERROR(VLOOKUP(AA1005,TD!$N$55:$O$70,2,0)," ")</f>
        <v>Servicio de atención a emergencias y desastres</v>
      </c>
      <c r="AC1005" s="180" t="str">
        <f>CONCATENATE(AA1005,"_",AB1005)</f>
        <v>004_Servicio de atención a emergencias y desastres</v>
      </c>
      <c r="AD1005" s="180" t="str">
        <f>CONCATENATE(Z1005," ",AC1005)</f>
        <v>04-Servicio de atención a incidentes y emergencias. 004_Servicio de atención a emergencias y desastres</v>
      </c>
      <c r="AE1005" s="179" t="str">
        <f>CONCATENATE(U1005,V1005,W1005,X1005,AA1005)</f>
        <v>O23011745032024025504004</v>
      </c>
      <c r="AF1005" s="172" t="str">
        <f>IFERROR(VLOOKUP(AD1005,TD!$J$70:$K$93,2,0)," ")</f>
        <v>PM/0131/0104/45030040255</v>
      </c>
      <c r="AG1005" s="130" t="s">
        <v>385</v>
      </c>
      <c r="AH1005" s="181" t="s">
        <v>194</v>
      </c>
      <c r="AI1005" s="184" t="str">
        <f>CONCATENATE(PAA[[#This Row],[Id Interno]],"-",PAA[[#This Row],[tipo de Contrato (TH talento humano - B/S bienes y/o servicios)]],"-",S1005,"-",T1005,"-",PAA[[#This Row],[Objeto de la contratación]])</f>
        <v>20261051-TH-8173-2--ADICIÓN Y PRÓRROGA AL CONTRATO DE PRESTACIÓN DE SERVICIOS # 195-2026, cuyo objeto es: "Prestación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1006" spans="2:35" ht="98" x14ac:dyDescent="0.35">
      <c r="B1006" s="137">
        <v>20261052</v>
      </c>
      <c r="C1006" s="117" t="s">
        <v>1282</v>
      </c>
      <c r="D1006" s="125" t="s">
        <v>105</v>
      </c>
      <c r="E1006" s="125" t="s">
        <v>363</v>
      </c>
      <c r="F1006" s="125" t="s">
        <v>144</v>
      </c>
      <c r="G1006" s="126" t="s">
        <v>382</v>
      </c>
      <c r="H1006" s="132">
        <v>2</v>
      </c>
      <c r="I1006" s="132">
        <v>0</v>
      </c>
      <c r="J1006" s="127">
        <v>10000000</v>
      </c>
      <c r="K1006" s="128" t="s">
        <v>398</v>
      </c>
      <c r="L1006" s="176" t="s">
        <v>158</v>
      </c>
      <c r="M1006" s="174" t="s">
        <v>421</v>
      </c>
      <c r="N1006" s="125" t="s">
        <v>198</v>
      </c>
      <c r="O1006" s="174" t="s">
        <v>887</v>
      </c>
      <c r="P1006" s="174" t="s">
        <v>348</v>
      </c>
      <c r="Q1006" s="129">
        <v>80111600</v>
      </c>
      <c r="R1006" s="174" t="s">
        <v>211</v>
      </c>
      <c r="S1006" s="174" t="str">
        <f>MID(PAA[[#This Row],[Meta Proyecto de Inversión]],1,4)</f>
        <v>8173</v>
      </c>
      <c r="T1006" s="174" t="str">
        <f>MID(PAA[[#This Row],[Meta Proyecto de Inversión]],6,2)</f>
        <v>2-</v>
      </c>
      <c r="U1006" s="179" t="str">
        <f>IFERROR(VLOOKUP(N1006,TD!$B$54:$F$58,2,0)," ")</f>
        <v>O230117</v>
      </c>
      <c r="V1006" s="179" t="str">
        <f>IFERROR(VLOOKUP(N1006,TD!$B$54:$F$58,3,0)," ")</f>
        <v>4503</v>
      </c>
      <c r="W1006" s="179">
        <f>IFERROR(VLOOKUP(N1006,TD!$B$54:$F$58,4,0)," ")</f>
        <v>20240255</v>
      </c>
      <c r="X1006" s="174" t="s">
        <v>164</v>
      </c>
      <c r="Y1006" s="187" t="str">
        <f>IFERROR(VLOOKUP(X1006,TD!$J$55:$K$68,2,0)," ")</f>
        <v>Servicio de atención a incidentes y emergencias.</v>
      </c>
      <c r="Z1006" s="180" t="str">
        <f>CONCATENATE(X1006,"-",Y1006)</f>
        <v>04-Servicio de atención a incidentes y emergencias.</v>
      </c>
      <c r="AA1006" s="174" t="s">
        <v>221</v>
      </c>
      <c r="AB1006" s="187" t="str">
        <f>IFERROR(VLOOKUP(AA1006,TD!$N$55:$O$70,2,0)," ")</f>
        <v>Servicio de atención a emergencias y desastres</v>
      </c>
      <c r="AC1006" s="180" t="str">
        <f>CONCATENATE(AA1006,"_",AB1006)</f>
        <v>004_Servicio de atención a emergencias y desastres</v>
      </c>
      <c r="AD1006" s="180" t="str">
        <f>CONCATENATE(Z1006," ",AC1006)</f>
        <v>04-Servicio de atención a incidentes y emergencias. 004_Servicio de atención a emergencias y desastres</v>
      </c>
      <c r="AE1006" s="179" t="str">
        <f>CONCATENATE(U1006,V1006,W1006,X1006,AA1006)</f>
        <v>O23011745032024025504004</v>
      </c>
      <c r="AF1006" s="172" t="str">
        <f>IFERROR(VLOOKUP(AD1006,TD!$J$70:$K$93,2,0)," ")</f>
        <v>PM/0131/0104/45030040255</v>
      </c>
      <c r="AG1006" s="130" t="s">
        <v>385</v>
      </c>
      <c r="AH1006" s="181" t="s">
        <v>193</v>
      </c>
      <c r="AI1006" s="184" t="str">
        <f>CONCATENATE(PAA[[#This Row],[Id Interno]],"-",PAA[[#This Row],[tipo de Contrato (TH talento humano - B/S bienes y/o servicios)]],"-",S1006,"-",T1006,"-",PAA[[#This Row],[Objeto de la contratación]])</f>
        <v>20261052-TH-8173-2--Prestación de servicios profesionales para apoyar la verificación de los aspectos técnicos  de los diferentes procesos de contratación de bienes y servicios en las etapas precontractual, contractual y postcontractual para el desarrollo de los programas de la Subdirección Operativa-S.O.</v>
      </c>
    </row>
    <row r="1007" spans="2:35" ht="70" x14ac:dyDescent="0.35">
      <c r="B1007" s="137">
        <v>20261053</v>
      </c>
      <c r="C1007" s="117" t="s">
        <v>1283</v>
      </c>
      <c r="D1007" s="125" t="s">
        <v>105</v>
      </c>
      <c r="E1007" s="125" t="s">
        <v>363</v>
      </c>
      <c r="F1007" s="125" t="s">
        <v>144</v>
      </c>
      <c r="G1007" s="126" t="s">
        <v>381</v>
      </c>
      <c r="H1007" s="132">
        <v>3</v>
      </c>
      <c r="I1007" s="132">
        <v>0</v>
      </c>
      <c r="J1007" s="127">
        <v>19500000</v>
      </c>
      <c r="K1007" s="128" t="s">
        <v>398</v>
      </c>
      <c r="L1007" s="176" t="s">
        <v>158</v>
      </c>
      <c r="M1007" s="174" t="s">
        <v>421</v>
      </c>
      <c r="N1007" s="125" t="s">
        <v>198</v>
      </c>
      <c r="O1007" s="174" t="s">
        <v>887</v>
      </c>
      <c r="P1007" s="174" t="s">
        <v>348</v>
      </c>
      <c r="Q1007" s="129">
        <v>80111600</v>
      </c>
      <c r="R1007" s="174" t="s">
        <v>210</v>
      </c>
      <c r="S1007" s="174" t="str">
        <f>MID(PAA[[#This Row],[Meta Proyecto de Inversión]],1,4)</f>
        <v>8173</v>
      </c>
      <c r="T1007" s="174" t="str">
        <f>MID(PAA[[#This Row],[Meta Proyecto de Inversión]],6,2)</f>
        <v>1-</v>
      </c>
      <c r="U1007" s="179" t="str">
        <f>IFERROR(VLOOKUP(N1007,TD!$B$54:$F$58,2,0)," ")</f>
        <v>O230117</v>
      </c>
      <c r="V1007" s="179" t="str">
        <f>IFERROR(VLOOKUP(N1007,TD!$B$54:$F$58,3,0)," ")</f>
        <v>4503</v>
      </c>
      <c r="W1007" s="179">
        <f>IFERROR(VLOOKUP(N1007,TD!$B$54:$F$58,4,0)," ")</f>
        <v>20240255</v>
      </c>
      <c r="X1007" s="174" t="s">
        <v>164</v>
      </c>
      <c r="Y1007" s="187" t="str">
        <f>IFERROR(VLOOKUP(X1007,TD!$J$55:$K$68,2,0)," ")</f>
        <v>Servicio de atención a incidentes y emergencias.</v>
      </c>
      <c r="Z1007" s="180" t="str">
        <f>CONCATENATE(X1007,"-",Y1007)</f>
        <v>04-Servicio de atención a incidentes y emergencias.</v>
      </c>
      <c r="AA1007" s="174" t="s">
        <v>221</v>
      </c>
      <c r="AB1007" s="187" t="str">
        <f>IFERROR(VLOOKUP(AA1007,TD!$N$55:$O$70,2,0)," ")</f>
        <v>Servicio de atención a emergencias y desastres</v>
      </c>
      <c r="AC1007" s="180" t="str">
        <f>CONCATENATE(AA1007,"_",AB1007)</f>
        <v>004_Servicio de atención a emergencias y desastres</v>
      </c>
      <c r="AD1007" s="180" t="str">
        <f>CONCATENATE(Z1007," ",AC1007)</f>
        <v>04-Servicio de atención a incidentes y emergencias. 004_Servicio de atención a emergencias y desastres</v>
      </c>
      <c r="AE1007" s="179" t="str">
        <f>CONCATENATE(U1007,V1007,W1007,X1007,AA1007)</f>
        <v>O23011745032024025504004</v>
      </c>
      <c r="AF1007" s="172" t="str">
        <f>IFERROR(VLOOKUP(AD1007,TD!$J$70:$K$93,2,0)," ")</f>
        <v>PM/0131/0104/45030040255</v>
      </c>
      <c r="AG1007" s="130" t="s">
        <v>385</v>
      </c>
      <c r="AH1007" s="181" t="s">
        <v>193</v>
      </c>
      <c r="AI1007" s="184" t="str">
        <f>CONCATENATE(PAA[[#This Row],[Id Interno]],"-",PAA[[#This Row],[tipo de Contrato (TH talento humano - B/S bienes y/o servicios)]],"-",S1007,"-",T1007,"-",PAA[[#This Row],[Objeto de la contratación]])</f>
        <v>20261053-TH-8173-1--prestación de servicios profesionales para ejecutar el componente de información geográfica, georreferenciación y generación de alertas mediante las herramientas, sistemas de información y recursos disponibles y a cargo de la Subdirección Operativa-S.O.</v>
      </c>
    </row>
    <row r="1008" spans="2:35" ht="70" x14ac:dyDescent="0.35">
      <c r="B1008" s="137">
        <v>20261054</v>
      </c>
      <c r="C1008" s="117" t="s">
        <v>1284</v>
      </c>
      <c r="D1008" s="125" t="s">
        <v>105</v>
      </c>
      <c r="E1008" s="125" t="s">
        <v>363</v>
      </c>
      <c r="F1008" s="125" t="s">
        <v>144</v>
      </c>
      <c r="G1008" s="126" t="s">
        <v>381</v>
      </c>
      <c r="H1008" s="132">
        <v>4</v>
      </c>
      <c r="I1008" s="132">
        <v>0</v>
      </c>
      <c r="J1008" s="127">
        <v>36000000</v>
      </c>
      <c r="K1008" s="128" t="s">
        <v>398</v>
      </c>
      <c r="L1008" s="176" t="s">
        <v>158</v>
      </c>
      <c r="M1008" s="174" t="s">
        <v>421</v>
      </c>
      <c r="N1008" s="125" t="s">
        <v>198</v>
      </c>
      <c r="O1008" s="174" t="s">
        <v>887</v>
      </c>
      <c r="P1008" s="174" t="s">
        <v>348</v>
      </c>
      <c r="Q1008" s="129">
        <v>80111600</v>
      </c>
      <c r="R1008" s="174" t="s">
        <v>211</v>
      </c>
      <c r="S1008" s="174" t="str">
        <f>MID(PAA[[#This Row],[Meta Proyecto de Inversión]],1,4)</f>
        <v>8173</v>
      </c>
      <c r="T1008" s="174" t="str">
        <f>MID(PAA[[#This Row],[Meta Proyecto de Inversión]],6,2)</f>
        <v>2-</v>
      </c>
      <c r="U1008" s="179" t="str">
        <f>IFERROR(VLOOKUP(N1008,TD!$B$54:$F$58,2,0)," ")</f>
        <v>O230117</v>
      </c>
      <c r="V1008" s="179" t="str">
        <f>IFERROR(VLOOKUP(N1008,TD!$B$54:$F$58,3,0)," ")</f>
        <v>4503</v>
      </c>
      <c r="W1008" s="179">
        <f>IFERROR(VLOOKUP(N1008,TD!$B$54:$F$58,4,0)," ")</f>
        <v>20240255</v>
      </c>
      <c r="X1008" s="174" t="s">
        <v>164</v>
      </c>
      <c r="Y1008" s="187" t="str">
        <f>IFERROR(VLOOKUP(X1008,TD!$J$55:$K$68,2,0)," ")</f>
        <v>Servicio de atención a incidentes y emergencias.</v>
      </c>
      <c r="Z1008" s="180" t="str">
        <f>CONCATENATE(X1008,"-",Y1008)</f>
        <v>04-Servicio de atención a incidentes y emergencias.</v>
      </c>
      <c r="AA1008" s="174" t="s">
        <v>221</v>
      </c>
      <c r="AB1008" s="187" t="str">
        <f>IFERROR(VLOOKUP(AA1008,TD!$N$55:$O$70,2,0)," ")</f>
        <v>Servicio de atención a emergencias y desastres</v>
      </c>
      <c r="AC1008" s="180" t="str">
        <f>CONCATENATE(AA1008,"_",AB1008)</f>
        <v>004_Servicio de atención a emergencias y desastres</v>
      </c>
      <c r="AD1008" s="180" t="str">
        <f>CONCATENATE(Z1008," ",AC1008)</f>
        <v>04-Servicio de atención a incidentes y emergencias. 004_Servicio de atención a emergencias y desastres</v>
      </c>
      <c r="AE1008" s="179" t="str">
        <f>CONCATENATE(U1008,V1008,W1008,X1008,AA1008)</f>
        <v>O23011745032024025504004</v>
      </c>
      <c r="AF1008" s="172" t="str">
        <f>IFERROR(VLOOKUP(AD1008,TD!$J$70:$K$93,2,0)," ")</f>
        <v>PM/0131/0104/45030040255</v>
      </c>
      <c r="AG1008" s="130" t="s">
        <v>385</v>
      </c>
      <c r="AH1008" s="181" t="s">
        <v>193</v>
      </c>
      <c r="AI1008" s="184" t="str">
        <f>CONCATENATE(PAA[[#This Row],[Id Interno]],"-",PAA[[#This Row],[tipo de Contrato (TH talento humano - B/S bienes y/o servicios)]],"-",S1008,"-",T1008,"-",PAA[[#This Row],[Objeto de la contratación]])</f>
        <v>20261054-TH-8173-2--Prestación de servicios profesionales jurídicos para realizar el seguimiento y control de las actividades relacionadas con procesos contractuales, para el acompañamiento de los programas y metas de la Subdirección Operativa-S.O.</v>
      </c>
    </row>
    <row r="1009" spans="2:35" ht="56" x14ac:dyDescent="0.35">
      <c r="B1009" s="137">
        <v>20261055</v>
      </c>
      <c r="C1009" s="117" t="s">
        <v>1285</v>
      </c>
      <c r="D1009" s="125" t="s">
        <v>105</v>
      </c>
      <c r="E1009" s="125" t="s">
        <v>363</v>
      </c>
      <c r="F1009" s="125" t="s">
        <v>144</v>
      </c>
      <c r="G1009" s="126" t="s">
        <v>381</v>
      </c>
      <c r="H1009" s="132">
        <v>3</v>
      </c>
      <c r="I1009" s="132">
        <v>0</v>
      </c>
      <c r="J1009" s="127">
        <v>22500000</v>
      </c>
      <c r="K1009" s="128" t="s">
        <v>398</v>
      </c>
      <c r="L1009" s="176" t="s">
        <v>158</v>
      </c>
      <c r="M1009" s="174" t="s">
        <v>421</v>
      </c>
      <c r="N1009" s="125" t="s">
        <v>198</v>
      </c>
      <c r="O1009" s="174" t="s">
        <v>887</v>
      </c>
      <c r="P1009" s="174" t="s">
        <v>348</v>
      </c>
      <c r="Q1009" s="129">
        <v>80111600</v>
      </c>
      <c r="R1009" s="174" t="s">
        <v>211</v>
      </c>
      <c r="S1009" s="174" t="str">
        <f>MID(PAA[[#This Row],[Meta Proyecto de Inversión]],1,4)</f>
        <v>8173</v>
      </c>
      <c r="T1009" s="174" t="str">
        <f>MID(PAA[[#This Row],[Meta Proyecto de Inversión]],6,2)</f>
        <v>2-</v>
      </c>
      <c r="U1009" s="179" t="str">
        <f>IFERROR(VLOOKUP(N1009,TD!$B$54:$F$58,2,0)," ")</f>
        <v>O230117</v>
      </c>
      <c r="V1009" s="179" t="str">
        <f>IFERROR(VLOOKUP(N1009,TD!$B$54:$F$58,3,0)," ")</f>
        <v>4503</v>
      </c>
      <c r="W1009" s="179">
        <f>IFERROR(VLOOKUP(N1009,TD!$B$54:$F$58,4,0)," ")</f>
        <v>20240255</v>
      </c>
      <c r="X1009" s="174" t="s">
        <v>164</v>
      </c>
      <c r="Y1009" s="187" t="str">
        <f>IFERROR(VLOOKUP(X1009,TD!$J$55:$K$68,2,0)," ")</f>
        <v>Servicio de atención a incidentes y emergencias.</v>
      </c>
      <c r="Z1009" s="180" t="str">
        <f>CONCATENATE(X1009,"-",Y1009)</f>
        <v>04-Servicio de atención a incidentes y emergencias.</v>
      </c>
      <c r="AA1009" s="174" t="s">
        <v>221</v>
      </c>
      <c r="AB1009" s="187" t="str">
        <f>IFERROR(VLOOKUP(AA1009,TD!$N$55:$O$70,2,0)," ")</f>
        <v>Servicio de atención a emergencias y desastres</v>
      </c>
      <c r="AC1009" s="180" t="str">
        <f>CONCATENATE(AA1009,"_",AB1009)</f>
        <v>004_Servicio de atención a emergencias y desastres</v>
      </c>
      <c r="AD1009" s="180" t="str">
        <f>CONCATENATE(Z1009," ",AC1009)</f>
        <v>04-Servicio de atención a incidentes y emergencias. 004_Servicio de atención a emergencias y desastres</v>
      </c>
      <c r="AE1009" s="179" t="str">
        <f>CONCATENATE(U1009,V1009,W1009,X1009,AA1009)</f>
        <v>O23011745032024025504004</v>
      </c>
      <c r="AF1009" s="172" t="str">
        <f>IFERROR(VLOOKUP(AD1009,TD!$J$70:$K$93,2,0)," ")</f>
        <v>PM/0131/0104/45030040255</v>
      </c>
      <c r="AG1009" s="130" t="s">
        <v>385</v>
      </c>
      <c r="AH1009" s="181" t="s">
        <v>193</v>
      </c>
      <c r="AI1009" s="184" t="str">
        <f>CONCATENATE(PAA[[#This Row],[Id Interno]],"-",PAA[[#This Row],[tipo de Contrato (TH talento humano - B/S bienes y/o servicios)]],"-",S1009,"-",T1009,"-",PAA[[#This Row],[Objeto de la contratación]])</f>
        <v>20261055-TH-8173-2--Prestación de servicios profesionales para gestionar actividades de articulación con las alcaldías locales del distrito para la optimización de procesos operativos, para el desarrollo de los programas de la Subdirección Operativa-S.O.</v>
      </c>
    </row>
    <row r="1010" spans="2:35" ht="56" x14ac:dyDescent="0.35">
      <c r="B1010" s="137">
        <v>20261056</v>
      </c>
      <c r="C1010" s="117" t="s">
        <v>1286</v>
      </c>
      <c r="D1010" s="125" t="s">
        <v>105</v>
      </c>
      <c r="E1010" s="125" t="s">
        <v>363</v>
      </c>
      <c r="F1010" s="125" t="s">
        <v>145</v>
      </c>
      <c r="G1010" s="126" t="s">
        <v>381</v>
      </c>
      <c r="H1010" s="132">
        <v>3</v>
      </c>
      <c r="I1010" s="132">
        <v>0</v>
      </c>
      <c r="J1010" s="127">
        <v>9600000</v>
      </c>
      <c r="K1010" s="128" t="s">
        <v>398</v>
      </c>
      <c r="L1010" s="176" t="s">
        <v>158</v>
      </c>
      <c r="M1010" s="174" t="s">
        <v>421</v>
      </c>
      <c r="N1010" s="125" t="s">
        <v>198</v>
      </c>
      <c r="O1010" s="174" t="s">
        <v>887</v>
      </c>
      <c r="P1010" s="174" t="s">
        <v>348</v>
      </c>
      <c r="Q1010" s="129">
        <v>80111600</v>
      </c>
      <c r="R1010" s="174" t="s">
        <v>210</v>
      </c>
      <c r="S1010" s="174" t="str">
        <f>MID(PAA[[#This Row],[Meta Proyecto de Inversión]],1,4)</f>
        <v>8173</v>
      </c>
      <c r="T1010" s="174" t="str">
        <f>MID(PAA[[#This Row],[Meta Proyecto de Inversión]],6,2)</f>
        <v>1-</v>
      </c>
      <c r="U1010" s="179" t="str">
        <f>IFERROR(VLOOKUP(N1010,TD!$B$54:$F$58,2,0)," ")</f>
        <v>O230117</v>
      </c>
      <c r="V1010" s="179" t="str">
        <f>IFERROR(VLOOKUP(N1010,TD!$B$54:$F$58,3,0)," ")</f>
        <v>4503</v>
      </c>
      <c r="W1010" s="179">
        <f>IFERROR(VLOOKUP(N1010,TD!$B$54:$F$58,4,0)," ")</f>
        <v>20240255</v>
      </c>
      <c r="X1010" s="174" t="s">
        <v>164</v>
      </c>
      <c r="Y1010" s="187" t="str">
        <f>IFERROR(VLOOKUP(X1010,TD!$J$55:$K$68,2,0)," ")</f>
        <v>Servicio de atención a incidentes y emergencias.</v>
      </c>
      <c r="Z1010" s="180" t="str">
        <f>CONCATENATE(X1010,"-",Y1010)</f>
        <v>04-Servicio de atención a incidentes y emergencias.</v>
      </c>
      <c r="AA1010" s="174" t="s">
        <v>221</v>
      </c>
      <c r="AB1010" s="187" t="str">
        <f>IFERROR(VLOOKUP(AA1010,TD!$N$55:$O$70,2,0)," ")</f>
        <v>Servicio de atención a emergencias y desastres</v>
      </c>
      <c r="AC1010" s="180" t="str">
        <f>CONCATENATE(AA1010,"_",AB1010)</f>
        <v>004_Servicio de atención a emergencias y desastres</v>
      </c>
      <c r="AD1010" s="180" t="str">
        <f>CONCATENATE(Z1010," ",AC1010)</f>
        <v>04-Servicio de atención a incidentes y emergencias. 004_Servicio de atención a emergencias y desastres</v>
      </c>
      <c r="AE1010" s="179" t="str">
        <f>CONCATENATE(U1010,V1010,W1010,X1010,AA1010)</f>
        <v>O23011745032024025504004</v>
      </c>
      <c r="AF1010" s="172" t="str">
        <f>IFERROR(VLOOKUP(AD1010,TD!$J$70:$K$93,2,0)," ")</f>
        <v>PM/0131/0104/45030040255</v>
      </c>
      <c r="AG1010" s="130" t="s">
        <v>385</v>
      </c>
      <c r="AH1010" s="181" t="s">
        <v>193</v>
      </c>
      <c r="AI1010" s="184" t="str">
        <f>CONCATENATE(PAA[[#This Row],[Id Interno]],"-",PAA[[#This Row],[tipo de Contrato (TH talento humano - B/S bienes y/o servicios)]],"-",S1010,"-",T1010,"-",PAA[[#This Row],[Objeto de la contratación]])</f>
        <v>20261056-TH-8173-1--Prestación de servicios de apoyo técnico en el desarrollo y mantenimiento de aplicaciones, automatización de flujos de trabajo, administración de repositorios colaborativos de información y elaboración de tableros e instrumentos de visualización y gestión de los datos y los productos para los  programas y metas a a cargo de la Subdirección  Operativa-S.O.</v>
      </c>
    </row>
    <row r="1011" spans="2:35" ht="84" x14ac:dyDescent="0.35">
      <c r="B1011" s="137">
        <v>20261058</v>
      </c>
      <c r="C1011" s="117" t="s">
        <v>1288</v>
      </c>
      <c r="D1011" s="125" t="s">
        <v>105</v>
      </c>
      <c r="E1011" s="125" t="s">
        <v>363</v>
      </c>
      <c r="F1011" s="125" t="s">
        <v>144</v>
      </c>
      <c r="G1011" s="126" t="s">
        <v>381</v>
      </c>
      <c r="H1011" s="132">
        <v>3</v>
      </c>
      <c r="I1011" s="132">
        <v>0</v>
      </c>
      <c r="J1011" s="127">
        <v>24000000</v>
      </c>
      <c r="K1011" s="128" t="s">
        <v>398</v>
      </c>
      <c r="L1011" s="176" t="s">
        <v>158</v>
      </c>
      <c r="M1011" s="174" t="s">
        <v>421</v>
      </c>
      <c r="N1011" s="125" t="s">
        <v>198</v>
      </c>
      <c r="O1011" s="174" t="s">
        <v>887</v>
      </c>
      <c r="P1011" s="174" t="s">
        <v>348</v>
      </c>
      <c r="Q1011" s="129">
        <v>80111600</v>
      </c>
      <c r="R1011" s="174" t="s">
        <v>211</v>
      </c>
      <c r="S1011" s="174" t="str">
        <f>MID(PAA[[#This Row],[Meta Proyecto de Inversión]],1,4)</f>
        <v>8173</v>
      </c>
      <c r="T1011" s="174" t="str">
        <f>MID(PAA[[#This Row],[Meta Proyecto de Inversión]],6,2)</f>
        <v>2-</v>
      </c>
      <c r="U1011" s="179" t="str">
        <f>IFERROR(VLOOKUP(N1011,TD!$B$54:$F$58,2,0)," ")</f>
        <v>O230117</v>
      </c>
      <c r="V1011" s="179" t="str">
        <f>IFERROR(VLOOKUP(N1011,TD!$B$54:$F$58,3,0)," ")</f>
        <v>4503</v>
      </c>
      <c r="W1011" s="179">
        <f>IFERROR(VLOOKUP(N1011,TD!$B$54:$F$58,4,0)," ")</f>
        <v>20240255</v>
      </c>
      <c r="X1011" s="174" t="s">
        <v>164</v>
      </c>
      <c r="Y1011" s="187" t="str">
        <f>IFERROR(VLOOKUP(X1011,TD!$J$55:$K$68,2,0)," ")</f>
        <v>Servicio de atención a incidentes y emergencias.</v>
      </c>
      <c r="Z1011" s="180" t="str">
        <f>CONCATENATE(X1011,"-",Y1011)</f>
        <v>04-Servicio de atención a incidentes y emergencias.</v>
      </c>
      <c r="AA1011" s="174" t="s">
        <v>221</v>
      </c>
      <c r="AB1011" s="187" t="str">
        <f>IFERROR(VLOOKUP(AA1011,TD!$N$55:$O$70,2,0)," ")</f>
        <v>Servicio de atención a emergencias y desastres</v>
      </c>
      <c r="AC1011" s="180" t="str">
        <f>CONCATENATE(AA1011,"_",AB1011)</f>
        <v>004_Servicio de atención a emergencias y desastres</v>
      </c>
      <c r="AD1011" s="180" t="str">
        <f>CONCATENATE(Z1011," ",AC1011)</f>
        <v>04-Servicio de atención a incidentes y emergencias. 004_Servicio de atención a emergencias y desastres</v>
      </c>
      <c r="AE1011" s="179" t="str">
        <f>CONCATENATE(U1011,V1011,W1011,X1011,AA1011)</f>
        <v>O23011745032024025504004</v>
      </c>
      <c r="AF1011" s="172" t="str">
        <f>IFERROR(VLOOKUP(AD1011,TD!$J$70:$K$93,2,0)," ")</f>
        <v>PM/0131/0104/45030040255</v>
      </c>
      <c r="AG1011" s="130" t="s">
        <v>385</v>
      </c>
      <c r="AH1011" s="181" t="s">
        <v>193</v>
      </c>
      <c r="AI1011" s="184" t="str">
        <f>CONCATENATE(PAA[[#This Row],[Id Interno]],"-",PAA[[#This Row],[tipo de Contrato (TH talento humano - B/S bienes y/o servicios)]],"-",S1011,"-",T1011,"-",PAA[[#This Row],[Objeto de la contratación]])</f>
        <v>20261058-TH-8173-2--Prestación de servicios profesionales para apoyar jurídicamente los proyectos, procesos y procedimientos, para el desarrollo de los programas de la Subdirección Operativa-S.O</v>
      </c>
    </row>
    <row r="1012" spans="2:35" ht="56" x14ac:dyDescent="0.35">
      <c r="B1012" s="137">
        <v>20261059</v>
      </c>
      <c r="C1012" s="117" t="s">
        <v>1289</v>
      </c>
      <c r="D1012" s="125" t="s">
        <v>78</v>
      </c>
      <c r="E1012" s="125" t="s">
        <v>402</v>
      </c>
      <c r="F1012" s="125" t="s">
        <v>133</v>
      </c>
      <c r="G1012" s="126" t="s">
        <v>382</v>
      </c>
      <c r="H1012" s="132">
        <v>0</v>
      </c>
      <c r="I1012" s="132">
        <v>123</v>
      </c>
      <c r="J1012" s="127">
        <v>176602212</v>
      </c>
      <c r="K1012" s="128" t="s">
        <v>398</v>
      </c>
      <c r="L1012" s="176" t="s">
        <v>155</v>
      </c>
      <c r="M1012" s="174" t="s">
        <v>422</v>
      </c>
      <c r="N1012" s="125" t="s">
        <v>330</v>
      </c>
      <c r="O1012" s="174" t="s">
        <v>886</v>
      </c>
      <c r="P1012" s="174" t="s">
        <v>161</v>
      </c>
      <c r="Q1012" s="129" t="s">
        <v>743</v>
      </c>
      <c r="R1012" s="174" t="s">
        <v>331</v>
      </c>
      <c r="S1012" s="174" t="s">
        <v>934</v>
      </c>
      <c r="T1012" s="174" t="s">
        <v>1290</v>
      </c>
      <c r="U1012" s="179" t="s">
        <v>333</v>
      </c>
      <c r="V1012" s="179" t="s">
        <v>333</v>
      </c>
      <c r="W1012" s="179" t="s">
        <v>333</v>
      </c>
      <c r="X1012" s="174" t="s">
        <v>335</v>
      </c>
      <c r="Y1012" s="179" t="str">
        <f>IFERROR(VLOOKUP(X1012,TD!$J$55:$K$68,2,0)," ")</f>
        <v>N/A</v>
      </c>
      <c r="Z1012" s="180" t="s">
        <v>1291</v>
      </c>
      <c r="AA1012" s="174" t="s">
        <v>335</v>
      </c>
      <c r="AB1012" s="179" t="str">
        <f>IFERROR(VLOOKUP(AA1012,TD!$N$55:$O$70,2,0)," ")</f>
        <v>N/A</v>
      </c>
      <c r="AC1012" s="180" t="s">
        <v>1292</v>
      </c>
      <c r="AD1012" s="180" t="s">
        <v>336</v>
      </c>
      <c r="AE1012" s="179" t="str">
        <f>CONCATENATE(U1012,V1012,W1012,X1012,AA1012)</f>
        <v>NANANAN/AN/A</v>
      </c>
      <c r="AF1012" s="167" t="str">
        <f>IFERROR(VLOOKUP(AD1012,TD!$J$70:$K$93,2,0)," ")</f>
        <v>N/A</v>
      </c>
      <c r="AG1012" s="130" t="s">
        <v>332</v>
      </c>
      <c r="AH1012" s="181" t="s">
        <v>194</v>
      </c>
      <c r="AI1012" s="184" t="str">
        <f>CONCATENATE(PAA[[#This Row],[Id Interno]],"-",PAA[[#This Row],[tipo de Contrato (TH talento humano - B/S bienes y/o servicios)]],"-",S1012,"-",T1012,"-",PAA[[#This Row],[Objeto de la contratación]])</f>
        <v>20261059-BS-No a-li-Adición y prorroga No. 1 al contrato 504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1013" spans="2:35" ht="140" x14ac:dyDescent="0.35">
      <c r="B1013" s="137">
        <v>20261060</v>
      </c>
      <c r="C1013" s="117" t="s">
        <v>1293</v>
      </c>
      <c r="D1013" s="125" t="s">
        <v>78</v>
      </c>
      <c r="E1013" s="125" t="s">
        <v>402</v>
      </c>
      <c r="F1013" s="125" t="s">
        <v>133</v>
      </c>
      <c r="G1013" s="126" t="s">
        <v>382</v>
      </c>
      <c r="H1013" s="132">
        <v>0</v>
      </c>
      <c r="I1013" s="132">
        <v>83</v>
      </c>
      <c r="J1013" s="127">
        <v>1756523433</v>
      </c>
      <c r="K1013" s="128" t="s">
        <v>398</v>
      </c>
      <c r="L1013" s="176" t="s">
        <v>155</v>
      </c>
      <c r="M1013" s="174" t="s">
        <v>422</v>
      </c>
      <c r="N1013" s="125" t="s">
        <v>330</v>
      </c>
      <c r="O1013" s="174" t="s">
        <v>886</v>
      </c>
      <c r="P1013" s="174" t="s">
        <v>161</v>
      </c>
      <c r="Q1013" s="129" t="s">
        <v>743</v>
      </c>
      <c r="R1013" s="174" t="s">
        <v>331</v>
      </c>
      <c r="S1013" s="174" t="s">
        <v>934</v>
      </c>
      <c r="T1013" s="174" t="s">
        <v>1290</v>
      </c>
      <c r="U1013" s="179" t="s">
        <v>333</v>
      </c>
      <c r="V1013" s="179" t="s">
        <v>333</v>
      </c>
      <c r="W1013" s="179" t="s">
        <v>333</v>
      </c>
      <c r="X1013" s="174" t="s">
        <v>335</v>
      </c>
      <c r="Y1013" s="179" t="str">
        <f>IFERROR(VLOOKUP(X1013,TD!$J$55:$K$68,2,0)," ")</f>
        <v>N/A</v>
      </c>
      <c r="Z1013" s="180" t="s">
        <v>1291</v>
      </c>
      <c r="AA1013" s="174" t="s">
        <v>335</v>
      </c>
      <c r="AB1013" s="179" t="str">
        <f>IFERROR(VLOOKUP(AA1013,TD!$N$55:$O$70,2,0)," ")</f>
        <v>N/A</v>
      </c>
      <c r="AC1013" s="180" t="s">
        <v>1292</v>
      </c>
      <c r="AD1013" s="180" t="s">
        <v>336</v>
      </c>
      <c r="AE1013" s="179" t="str">
        <f>CONCATENATE(U1013,V1013,W1013,X1013,AA1013)</f>
        <v>NANANAN/AN/A</v>
      </c>
      <c r="AF1013" s="167" t="str">
        <f>IFERROR(VLOOKUP(AD1013,TD!$J$70:$K$93,2,0)," ")</f>
        <v>N/A</v>
      </c>
      <c r="AG1013" s="130" t="s">
        <v>332</v>
      </c>
      <c r="AH1013" s="181" t="s">
        <v>194</v>
      </c>
      <c r="AI1013" s="184" t="str">
        <f>CONCATENATE(PAA[[#This Row],[Id Interno]],"-",PAA[[#This Row],[tipo de Contrato (TH talento humano - B/S bienes y/o servicios)]],"-",S1013,"-",T1013,"-",PAA[[#This Row],[Objeto de la contratación]])</f>
        <v>20261060-BS-No a-li-Adición y prorroga No. 1 al contrato 546-2026 que tiene como objeto "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1, 2 Y 4</v>
      </c>
    </row>
    <row r="1014" spans="2:35" ht="140" x14ac:dyDescent="0.35">
      <c r="B1014" s="137">
        <v>20261061</v>
      </c>
      <c r="C1014" s="117" t="s">
        <v>1294</v>
      </c>
      <c r="D1014" s="125" t="s">
        <v>78</v>
      </c>
      <c r="E1014" s="125" t="s">
        <v>402</v>
      </c>
      <c r="F1014" s="125" t="s">
        <v>133</v>
      </c>
      <c r="G1014" s="126" t="s">
        <v>382</v>
      </c>
      <c r="H1014" s="132">
        <v>0</v>
      </c>
      <c r="I1014" s="132">
        <v>75</v>
      </c>
      <c r="J1014" s="127">
        <v>43134273</v>
      </c>
      <c r="K1014" s="128" t="s">
        <v>398</v>
      </c>
      <c r="L1014" s="176" t="s">
        <v>155</v>
      </c>
      <c r="M1014" s="174" t="s">
        <v>422</v>
      </c>
      <c r="N1014" s="125" t="s">
        <v>330</v>
      </c>
      <c r="O1014" s="174" t="s">
        <v>886</v>
      </c>
      <c r="P1014" s="174" t="s">
        <v>161</v>
      </c>
      <c r="Q1014" s="129" t="s">
        <v>743</v>
      </c>
      <c r="R1014" s="174" t="s">
        <v>331</v>
      </c>
      <c r="S1014" s="174" t="s">
        <v>934</v>
      </c>
      <c r="T1014" s="174" t="s">
        <v>1290</v>
      </c>
      <c r="U1014" s="179" t="s">
        <v>333</v>
      </c>
      <c r="V1014" s="179" t="s">
        <v>333</v>
      </c>
      <c r="W1014" s="179" t="s">
        <v>333</v>
      </c>
      <c r="X1014" s="174" t="s">
        <v>335</v>
      </c>
      <c r="Y1014" s="179" t="str">
        <f>IFERROR(VLOOKUP(X1014,TD!$J$55:$K$68,2,0)," ")</f>
        <v>N/A</v>
      </c>
      <c r="Z1014" s="180" t="s">
        <v>1291</v>
      </c>
      <c r="AA1014" s="174" t="s">
        <v>335</v>
      </c>
      <c r="AB1014" s="179" t="str">
        <f>IFERROR(VLOOKUP(AA1014,TD!$N$55:$O$70,2,0)," ")</f>
        <v>N/A</v>
      </c>
      <c r="AC1014" s="180" t="s">
        <v>1292</v>
      </c>
      <c r="AD1014" s="180" t="s">
        <v>336</v>
      </c>
      <c r="AE1014" s="179" t="str">
        <f>CONCATENATE(U1014,V1014,W1014,X1014,AA1014)</f>
        <v>NANANAN/AN/A</v>
      </c>
      <c r="AF1014" s="167" t="str">
        <f>IFERROR(VLOOKUP(AD1014,TD!$J$70:$K$93,2,0)," ")</f>
        <v>N/A</v>
      </c>
      <c r="AG1014" s="130" t="s">
        <v>332</v>
      </c>
      <c r="AH1014" s="181" t="s">
        <v>194</v>
      </c>
      <c r="AI1014" s="184" t="str">
        <f>CONCATENATE(PAA[[#This Row],[Id Interno]],"-",PAA[[#This Row],[tipo de Contrato (TH talento humano - B/S bienes y/o servicios)]],"-",S1014,"-",T1014,"-",PAA[[#This Row],[Objeto de la contratación]])</f>
        <v>20261061-BS-No a-li-Adición y prorroga No. 1 al contrato 548-2026 que tiene como objeto "Seleccionar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5</v>
      </c>
    </row>
    <row r="1015" spans="2:35" ht="140" x14ac:dyDescent="0.35">
      <c r="B1015" s="137">
        <v>20261062</v>
      </c>
      <c r="C1015" s="117" t="s">
        <v>1295</v>
      </c>
      <c r="D1015" s="125" t="s">
        <v>78</v>
      </c>
      <c r="E1015" s="125" t="s">
        <v>402</v>
      </c>
      <c r="F1015" s="125" t="s">
        <v>133</v>
      </c>
      <c r="G1015" s="126" t="s">
        <v>382</v>
      </c>
      <c r="H1015" s="132">
        <v>0</v>
      </c>
      <c r="I1015" s="132">
        <v>83</v>
      </c>
      <c r="J1015" s="127">
        <v>71221001</v>
      </c>
      <c r="K1015" s="128" t="s">
        <v>398</v>
      </c>
      <c r="L1015" s="176" t="s">
        <v>155</v>
      </c>
      <c r="M1015" s="174" t="s">
        <v>422</v>
      </c>
      <c r="N1015" s="125" t="s">
        <v>330</v>
      </c>
      <c r="O1015" s="174" t="s">
        <v>886</v>
      </c>
      <c r="P1015" s="174" t="s">
        <v>161</v>
      </c>
      <c r="Q1015" s="129" t="s">
        <v>743</v>
      </c>
      <c r="R1015" s="174" t="s">
        <v>331</v>
      </c>
      <c r="S1015" s="174" t="s">
        <v>934</v>
      </c>
      <c r="T1015" s="174" t="s">
        <v>1290</v>
      </c>
      <c r="U1015" s="179" t="s">
        <v>333</v>
      </c>
      <c r="V1015" s="179" t="s">
        <v>333</v>
      </c>
      <c r="W1015" s="179" t="s">
        <v>333</v>
      </c>
      <c r="X1015" s="174" t="s">
        <v>335</v>
      </c>
      <c r="Y1015" s="179" t="str">
        <f>IFERROR(VLOOKUP(X1015,TD!$J$55:$K$68,2,0)," ")</f>
        <v>N/A</v>
      </c>
      <c r="Z1015" s="180" t="s">
        <v>1291</v>
      </c>
      <c r="AA1015" s="174" t="s">
        <v>335</v>
      </c>
      <c r="AB1015" s="179" t="str">
        <f>IFERROR(VLOOKUP(AA1015,TD!$N$55:$O$70,2,0)," ")</f>
        <v>N/A</v>
      </c>
      <c r="AC1015" s="180" t="s">
        <v>1292</v>
      </c>
      <c r="AD1015" s="180" t="s">
        <v>336</v>
      </c>
      <c r="AE1015" s="179" t="str">
        <f>CONCATENATE(U1015,V1015,W1015,X1015,AA1015)</f>
        <v>NANANAN/AN/A</v>
      </c>
      <c r="AF1015" s="167" t="str">
        <f>IFERROR(VLOOKUP(AD1015,TD!$J$70:$K$93,2,0)," ")</f>
        <v>N/A</v>
      </c>
      <c r="AG1015" s="130" t="s">
        <v>332</v>
      </c>
      <c r="AH1015" s="181" t="s">
        <v>194</v>
      </c>
      <c r="AI1015" s="184" t="str">
        <f>CONCATENATE(PAA[[#This Row],[Id Interno]],"-",PAA[[#This Row],[tipo de Contrato (TH talento humano - B/S bienes y/o servicios)]],"-",S1015,"-",T1015,"-",PAA[[#This Row],[Objeto de la contratación]])</f>
        <v>20261062-BS-No a-li-Adición y prorroga Nro 1 al contrato Nro. 547-2026 que tiene como objet0"Seleccionar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 SGC - GRUPOS 3 y 6</v>
      </c>
    </row>
    <row r="1016" spans="2:35" ht="140" x14ac:dyDescent="0.35">
      <c r="B1016" s="137">
        <v>20261064</v>
      </c>
      <c r="C1016" s="117" t="s">
        <v>925</v>
      </c>
      <c r="D1016" s="125" t="s">
        <v>78</v>
      </c>
      <c r="E1016" s="125" t="s">
        <v>402</v>
      </c>
      <c r="F1016" s="125" t="s">
        <v>89</v>
      </c>
      <c r="G1016" s="126" t="s">
        <v>382</v>
      </c>
      <c r="H1016" s="132">
        <v>0</v>
      </c>
      <c r="I1016" s="132">
        <v>0</v>
      </c>
      <c r="J1016" s="127">
        <v>733444577</v>
      </c>
      <c r="K1016" s="128" t="s">
        <v>398</v>
      </c>
      <c r="L1016" s="176" t="s">
        <v>155</v>
      </c>
      <c r="M1016" s="174" t="s">
        <v>422</v>
      </c>
      <c r="N1016" s="125" t="s">
        <v>330</v>
      </c>
      <c r="O1016" s="174" t="s">
        <v>886</v>
      </c>
      <c r="P1016" s="174" t="s">
        <v>161</v>
      </c>
      <c r="Q1016" s="129" t="s">
        <v>726</v>
      </c>
      <c r="R1016" s="174" t="s">
        <v>331</v>
      </c>
      <c r="S1016" s="174" t="str">
        <f>MID(PAA[[#This Row],[Meta Proyecto de Inversión]],1,4)</f>
        <v>No a</v>
      </c>
      <c r="T1016" s="174" t="str">
        <f>MID(PAA[[#This Row],[Meta Proyecto de Inversión]],6,2)</f>
        <v>li</v>
      </c>
      <c r="U1016" s="179" t="str">
        <f>IFERROR(VLOOKUP(N1016,TD!$B$54:$F$58,2,0)," ")</f>
        <v>NA</v>
      </c>
      <c r="V1016" s="179" t="str">
        <f>IFERROR(VLOOKUP(N1016,TD!$B$54:$F$58,3,0)," ")</f>
        <v>NA</v>
      </c>
      <c r="W1016" s="179" t="str">
        <f>IFERROR(VLOOKUP(N1016,TD!$B$54:$F$58,4,0)," ")</f>
        <v>NA</v>
      </c>
      <c r="X1016" s="174" t="s">
        <v>335</v>
      </c>
      <c r="Y1016" s="179" t="str">
        <f>IFERROR(VLOOKUP(X1016,TD!$J$55:$K$68,2,0)," ")</f>
        <v>N/A</v>
      </c>
      <c r="Z1016" s="180" t="str">
        <f>CONCATENATE(X1016,"-",Y1016)</f>
        <v>N/A-N/A</v>
      </c>
      <c r="AA1016" s="174" t="s">
        <v>335</v>
      </c>
      <c r="AB1016" s="179" t="str">
        <f>IFERROR(VLOOKUP(AA1016,TD!$N$55:$O$70,2,0)," ")</f>
        <v>N/A</v>
      </c>
      <c r="AC1016" s="180" t="str">
        <f>CONCATENATE(AA1016,"_",AB1016)</f>
        <v>N/A_N/A</v>
      </c>
      <c r="AD1016" s="180" t="str">
        <f>CONCATENATE(Z1016," ",AC1016)</f>
        <v>N/A-N/A N/A_N/A</v>
      </c>
      <c r="AE1016" s="179" t="str">
        <f>CONCATENATE(U1016,V1016,W1016,X1016,AA1016)</f>
        <v>NANANAN/AN/A</v>
      </c>
      <c r="AF1016" s="167" t="str">
        <f>IFERROR(VLOOKUP(AD1016,TD!$J$70:$K$93,2,0)," ")</f>
        <v>N/A</v>
      </c>
      <c r="AG1016" s="130" t="s">
        <v>332</v>
      </c>
      <c r="AH1016" s="181" t="s">
        <v>194</v>
      </c>
      <c r="AI1016" s="184" t="str">
        <f>CONCATENATE(PAA[[#This Row],[Id Interno]],"-",PAA[[#This Row],[tipo de Contrato (TH talento humano - B/S bienes y/o servicios)]],"-",S1016,"-",T1016,"-",PAA[[#This Row],[Objeto de la contratación]])</f>
        <v>20261064-BS-No a-li-Adición No. 1 al contrato 629 de 2025 que tiene como objeto “Prestar el servicio de vigilancia y seguridad privada en la modalidad de vigilancia fija, según especificaciones técnicas, en las instalaciones donde la UAE Especial Cuerpo Oficial de Bomberos requiera-SGC</v>
      </c>
    </row>
    <row r="1017" spans="2:35" ht="65" customHeight="1" x14ac:dyDescent="0.35">
      <c r="B1017" s="137">
        <v>20261065</v>
      </c>
      <c r="C1017" s="117" t="s">
        <v>1301</v>
      </c>
      <c r="D1017" s="125" t="s">
        <v>105</v>
      </c>
      <c r="E1017" s="125" t="s">
        <v>363</v>
      </c>
      <c r="F1017" s="125" t="s">
        <v>144</v>
      </c>
      <c r="G1017" s="126" t="s">
        <v>382</v>
      </c>
      <c r="H1017" s="132">
        <v>2</v>
      </c>
      <c r="I1017" s="132">
        <v>10</v>
      </c>
      <c r="J1017" s="127">
        <v>8909055</v>
      </c>
      <c r="K1017" s="128" t="s">
        <v>398</v>
      </c>
      <c r="L1017" s="176" t="s">
        <v>156</v>
      </c>
      <c r="M1017" s="166" t="s">
        <v>484</v>
      </c>
      <c r="N1017" s="125" t="s">
        <v>198</v>
      </c>
      <c r="O1017" s="174" t="s">
        <v>887</v>
      </c>
      <c r="P1017" s="174" t="s">
        <v>348</v>
      </c>
      <c r="Q1017" s="129">
        <v>80111600</v>
      </c>
      <c r="R1017" s="174" t="s">
        <v>210</v>
      </c>
      <c r="S1017" s="174" t="s">
        <v>1297</v>
      </c>
      <c r="T1017" s="174" t="s">
        <v>1303</v>
      </c>
      <c r="U1017" s="179" t="s">
        <v>187</v>
      </c>
      <c r="V1017" s="179" t="s">
        <v>188</v>
      </c>
      <c r="W1017" s="179">
        <v>20240255</v>
      </c>
      <c r="X1017" s="174" t="s">
        <v>166</v>
      </c>
      <c r="Y1017" s="167" t="str">
        <f>IFERROR(VLOOKUP(X1017,TD!$J$55:$K$68,2,0)," ")</f>
        <v>Servicio de capacitaciones en gestión del riesgo de incendios  a la ciudadania.</v>
      </c>
      <c r="Z1017" s="180" t="str">
        <f>CONCATENATE(X1017,"-",Y1017)</f>
        <v>05-Servicio de capacitaciones en gestión del riesgo de incendios  a la ciudadania.</v>
      </c>
      <c r="AA1017" s="166" t="s">
        <v>223</v>
      </c>
      <c r="AB1017" s="167" t="str">
        <f>IFERROR(VLOOKUP(AA1017,TD!$N$55:$O$70,2,0)," ")</f>
        <v>Servicio prevención y control de incendios</v>
      </c>
      <c r="AC1017" s="180" t="str">
        <f>CONCATENATE(AA1017,"_",AB1017)</f>
        <v>035_Servicio prevención y control de incendios</v>
      </c>
      <c r="AD1017" s="180" t="str">
        <f>CONCATENATE(Z1017," ",AC1017)</f>
        <v>05-Servicio de capacitaciones en gestión del riesgo de incendios  a la ciudadania. 035_Servicio prevención y control de incendios</v>
      </c>
      <c r="AE1017" s="179" t="str">
        <f>CONCATENATE(U1017,V1017,W1017,X1017,AA1017)</f>
        <v>O23011745032024025505035</v>
      </c>
      <c r="AF1017" s="172" t="str">
        <f>IFERROR(VLOOKUP(AD1017,TD!$J$70:$K$93,2,0)," ")</f>
        <v>PM/0131/0105/45030350255</v>
      </c>
      <c r="AG1017" s="114" t="s">
        <v>385</v>
      </c>
      <c r="AH1017" s="181" t="s">
        <v>194</v>
      </c>
      <c r="AI1017" s="184" t="str">
        <f>CONCATENATE(PAA[[#This Row],[Id Interno]],"-",PAA[[#This Row],[tipo de Contrato (TH talento humano - B/S bienes y/o servicios)]],"-",S1017,"-",T1017,"-",PAA[[#This Row],[Objeto de la contratación]])</f>
        <v>20261065-TH-8173-1--Adicion  y proroga cto  107-2026 Prestar servicios apoyo técnico para el desarrollo de los contenidos graficos, piezas comunicativa y de imagen institucional para la Subdirección de Gestión del riesgo._SGR</v>
      </c>
    </row>
    <row r="1018" spans="2:35" ht="56" x14ac:dyDescent="0.35">
      <c r="B1018" s="143">
        <v>20261066</v>
      </c>
      <c r="C1018" s="97" t="s">
        <v>1307</v>
      </c>
      <c r="D1018" s="23" t="s">
        <v>105</v>
      </c>
      <c r="E1018" s="23" t="s">
        <v>363</v>
      </c>
      <c r="F1018" s="23" t="s">
        <v>144</v>
      </c>
      <c r="G1018" s="124" t="s">
        <v>384</v>
      </c>
      <c r="H1018" s="131">
        <v>0</v>
      </c>
      <c r="I1018" s="131">
        <v>31</v>
      </c>
      <c r="J1018" s="122">
        <v>7999691</v>
      </c>
      <c r="K1018" s="88" t="s">
        <v>398</v>
      </c>
      <c r="L1018" s="163" t="s">
        <v>152</v>
      </c>
      <c r="M1018" s="166" t="s">
        <v>893</v>
      </c>
      <c r="N1018" s="23" t="s">
        <v>197</v>
      </c>
      <c r="O1018" s="166" t="s">
        <v>886</v>
      </c>
      <c r="P1018" s="166" t="s">
        <v>348</v>
      </c>
      <c r="Q1018" s="53">
        <v>80111600</v>
      </c>
      <c r="R1018" s="166" t="s">
        <v>208</v>
      </c>
      <c r="S1018" s="166" t="str">
        <f>MID(PAA[[#This Row],[Meta Proyecto de Inversión]],1,4)</f>
        <v>8126</v>
      </c>
      <c r="T1018" s="166" t="str">
        <f>MID(PAA[[#This Row],[Meta Proyecto de Inversión]],6,2)</f>
        <v>9-</v>
      </c>
      <c r="U1018" s="167" t="str">
        <f>IFERROR(VLOOKUP(N1018,TD!$B$54:$F$58,2,0)," ")</f>
        <v>O230117</v>
      </c>
      <c r="V1018" s="167" t="str">
        <f>IFERROR(VLOOKUP(N1018,TD!$B$54:$F$58,3,0)," ")</f>
        <v>4599</v>
      </c>
      <c r="W1018" s="167">
        <f>IFERROR(VLOOKUP(N1018,TD!$B$54:$F$58,4,0)," ")</f>
        <v>20240207</v>
      </c>
      <c r="X1018" s="166" t="s">
        <v>174</v>
      </c>
      <c r="Y1018" s="167" t="str">
        <f>IFERROR(VLOOKUP(X1018,TD!$J$55:$K$68,2,0)," ")</f>
        <v>Infraestructura física, mantenimiento y dotación (Sedes construidas, mantenidas reforzadas)</v>
      </c>
      <c r="Z1018" s="168" t="str">
        <f>CONCATENATE(X1018,"-",Y1018)</f>
        <v>08-Infraestructura física, mantenimiento y dotación (Sedes construidas, mantenidas reforzadas)</v>
      </c>
      <c r="AA1018" s="166" t="s">
        <v>227</v>
      </c>
      <c r="AB1018" s="167" t="str">
        <f>IFERROR(VLOOKUP(AA1018,TD!$N$55:$O$70,2,0)," ")</f>
        <v>Sedes mantenidas</v>
      </c>
      <c r="AC1018" s="168" t="str">
        <f>CONCATENATE(AA1018,"_",AB1018)</f>
        <v>016_Sedes mantenidas</v>
      </c>
      <c r="AD1018" s="168" t="str">
        <f>CONCATENATE(Z1018," ",AC1018)</f>
        <v>08-Infraestructura física, mantenimiento y dotación (Sedes construidas, mantenidas reforzadas) 016_Sedes mantenidas</v>
      </c>
      <c r="AE1018" s="167" t="str">
        <f>CONCATENATE(U1018,V1018,W1018,X1018,AA1018)</f>
        <v>O23011745992024020708016</v>
      </c>
      <c r="AF1018" s="172" t="str">
        <f>IFERROR(VLOOKUP(AD1018,TD!$J$70:$K$93,2,0)," ")</f>
        <v>PM/0131/0108/45990160207</v>
      </c>
      <c r="AG1018" s="114" t="s">
        <v>385</v>
      </c>
      <c r="AH1018" s="175" t="s">
        <v>194</v>
      </c>
      <c r="AI1018" s="184" t="str">
        <f>CONCATENATE(PAA[[#This Row],[Id Interno]],"-",PAA[[#This Row],[tipo de Contrato (TH talento humano - B/S bienes y/o servicios)]],"-",S1018,"-",T1018,"-",PAA[[#This Row],[Objeto de la contratación]])</f>
        <v>20261066-TH-8126-9--Adición y prórroga del contrato No. 067 de 2026 cuyo objeto es "Prestar los servicios profesionales como contador público en la Oficina de Control Interno para el desarrollo del Plan Anual de Auditorías".</v>
      </c>
    </row>
    <row r="1019" spans="2:35" ht="56" x14ac:dyDescent="0.35">
      <c r="B1019" s="143">
        <v>20261067</v>
      </c>
      <c r="C1019" s="97" t="s">
        <v>1308</v>
      </c>
      <c r="D1019" s="23" t="s">
        <v>105</v>
      </c>
      <c r="E1019" s="23" t="s">
        <v>363</v>
      </c>
      <c r="F1019" s="23" t="s">
        <v>144</v>
      </c>
      <c r="G1019" s="124" t="s">
        <v>384</v>
      </c>
      <c r="H1019" s="131">
        <v>0</v>
      </c>
      <c r="I1019" s="131">
        <v>32</v>
      </c>
      <c r="J1019" s="122">
        <v>8257745</v>
      </c>
      <c r="K1019" s="88" t="s">
        <v>398</v>
      </c>
      <c r="L1019" s="163" t="s">
        <v>152</v>
      </c>
      <c r="M1019" s="166" t="s">
        <v>893</v>
      </c>
      <c r="N1019" s="23" t="s">
        <v>197</v>
      </c>
      <c r="O1019" s="166" t="s">
        <v>886</v>
      </c>
      <c r="P1019" s="166" t="s">
        <v>348</v>
      </c>
      <c r="Q1019" s="53">
        <v>80111600</v>
      </c>
      <c r="R1019" s="166" t="s">
        <v>208</v>
      </c>
      <c r="S1019" s="166" t="str">
        <f>MID(PAA[[#This Row],[Meta Proyecto de Inversión]],1,4)</f>
        <v>8126</v>
      </c>
      <c r="T1019" s="166" t="str">
        <f>MID(PAA[[#This Row],[Meta Proyecto de Inversión]],6,2)</f>
        <v>9-</v>
      </c>
      <c r="U1019" s="167" t="str">
        <f>IFERROR(VLOOKUP(N1019,TD!$B$54:$F$58,2,0)," ")</f>
        <v>O230117</v>
      </c>
      <c r="V1019" s="167" t="str">
        <f>IFERROR(VLOOKUP(N1019,TD!$B$54:$F$58,3,0)," ")</f>
        <v>4599</v>
      </c>
      <c r="W1019" s="167">
        <f>IFERROR(VLOOKUP(N1019,TD!$B$54:$F$58,4,0)," ")</f>
        <v>20240207</v>
      </c>
      <c r="X1019" s="166" t="s">
        <v>174</v>
      </c>
      <c r="Y1019" s="167" t="str">
        <f>IFERROR(VLOOKUP(X1019,TD!$J$55:$K$68,2,0)," ")</f>
        <v>Infraestructura física, mantenimiento y dotación (Sedes construidas, mantenidas reforzadas)</v>
      </c>
      <c r="Z1019" s="168" t="str">
        <f>CONCATENATE(X1019,"-",Y1019)</f>
        <v>08-Infraestructura física, mantenimiento y dotación (Sedes construidas, mantenidas reforzadas)</v>
      </c>
      <c r="AA1019" s="166" t="s">
        <v>227</v>
      </c>
      <c r="AB1019" s="167" t="str">
        <f>IFERROR(VLOOKUP(AA1019,TD!$N$55:$O$70,2,0)," ")</f>
        <v>Sedes mantenidas</v>
      </c>
      <c r="AC1019" s="168" t="str">
        <f>CONCATENATE(AA1019,"_",AB1019)</f>
        <v>016_Sedes mantenidas</v>
      </c>
      <c r="AD1019" s="168" t="str">
        <f>CONCATENATE(Z1019," ",AC1019)</f>
        <v>08-Infraestructura física, mantenimiento y dotación (Sedes construidas, mantenidas reforzadas) 016_Sedes mantenidas</v>
      </c>
      <c r="AE1019" s="167" t="str">
        <f>CONCATENATE(U1019,V1019,W1019,X1019,AA1019)</f>
        <v>O23011745992024020708016</v>
      </c>
      <c r="AF1019" s="172" t="str">
        <f>IFERROR(VLOOKUP(AD1019,TD!$J$70:$K$93,2,0)," ")</f>
        <v>PM/0131/0108/45990160207</v>
      </c>
      <c r="AG1019" s="114" t="s">
        <v>385</v>
      </c>
      <c r="AH1019" s="175" t="s">
        <v>194</v>
      </c>
      <c r="AI1019" s="184" t="str">
        <f>CONCATENATE(PAA[[#This Row],[Id Interno]],"-",PAA[[#This Row],[tipo de Contrato (TH talento humano - B/S bienes y/o servicios)]],"-",S1019,"-",T1019,"-",PAA[[#This Row],[Objeto de la contratación]])</f>
        <v>20261067-TH-8126-9--Adición y prórroga del contrato No. 068 de 2026 cuyo objeto es "Prestar los servicios profesionales como abogado en la Oficina de Control Interno para el desarrollo del Plan Anual de Auditorías"</v>
      </c>
    </row>
    <row r="1020" spans="2:35" ht="56" x14ac:dyDescent="0.35">
      <c r="B1020" s="143">
        <v>20261068</v>
      </c>
      <c r="C1020" s="97" t="s">
        <v>1309</v>
      </c>
      <c r="D1020" s="23" t="s">
        <v>105</v>
      </c>
      <c r="E1020" s="23" t="s">
        <v>363</v>
      </c>
      <c r="F1020" s="23" t="s">
        <v>144</v>
      </c>
      <c r="G1020" s="124" t="s">
        <v>384</v>
      </c>
      <c r="H1020" s="131">
        <v>0</v>
      </c>
      <c r="I1020" s="131">
        <v>32</v>
      </c>
      <c r="J1020" s="122">
        <v>8257745</v>
      </c>
      <c r="K1020" s="88" t="s">
        <v>398</v>
      </c>
      <c r="L1020" s="163" t="s">
        <v>152</v>
      </c>
      <c r="M1020" s="166" t="s">
        <v>893</v>
      </c>
      <c r="N1020" s="23" t="s">
        <v>197</v>
      </c>
      <c r="O1020" s="166" t="s">
        <v>886</v>
      </c>
      <c r="P1020" s="166" t="s">
        <v>348</v>
      </c>
      <c r="Q1020" s="53">
        <v>80111600</v>
      </c>
      <c r="R1020" s="166" t="s">
        <v>208</v>
      </c>
      <c r="S1020" s="166" t="str">
        <f>MID(PAA[[#This Row],[Meta Proyecto de Inversión]],1,4)</f>
        <v>8126</v>
      </c>
      <c r="T1020" s="166" t="str">
        <f>MID(PAA[[#This Row],[Meta Proyecto de Inversión]],6,2)</f>
        <v>9-</v>
      </c>
      <c r="U1020" s="167" t="str">
        <f>IFERROR(VLOOKUP(N1020,TD!$B$54:$F$58,2,0)," ")</f>
        <v>O230117</v>
      </c>
      <c r="V1020" s="167" t="str">
        <f>IFERROR(VLOOKUP(N1020,TD!$B$54:$F$58,3,0)," ")</f>
        <v>4599</v>
      </c>
      <c r="W1020" s="167">
        <f>IFERROR(VLOOKUP(N1020,TD!$B$54:$F$58,4,0)," ")</f>
        <v>20240207</v>
      </c>
      <c r="X1020" s="166" t="s">
        <v>174</v>
      </c>
      <c r="Y1020" s="167" t="str">
        <f>IFERROR(VLOOKUP(X1020,TD!$J$55:$K$68,2,0)," ")</f>
        <v>Infraestructura física, mantenimiento y dotación (Sedes construidas, mantenidas reforzadas)</v>
      </c>
      <c r="Z1020" s="168" t="str">
        <f>CONCATENATE(X1020,"-",Y1020)</f>
        <v>08-Infraestructura física, mantenimiento y dotación (Sedes construidas, mantenidas reforzadas)</v>
      </c>
      <c r="AA1020" s="166" t="s">
        <v>227</v>
      </c>
      <c r="AB1020" s="167" t="str">
        <f>IFERROR(VLOOKUP(AA1020,TD!$N$55:$O$70,2,0)," ")</f>
        <v>Sedes mantenidas</v>
      </c>
      <c r="AC1020" s="168" t="str">
        <f>CONCATENATE(AA1020,"_",AB1020)</f>
        <v>016_Sedes mantenidas</v>
      </c>
      <c r="AD1020" s="168" t="str">
        <f>CONCATENATE(Z1020," ",AC1020)</f>
        <v>08-Infraestructura física, mantenimiento y dotación (Sedes construidas, mantenidas reforzadas) 016_Sedes mantenidas</v>
      </c>
      <c r="AE1020" s="167" t="str">
        <f>CONCATENATE(U1020,V1020,W1020,X1020,AA1020)</f>
        <v>O23011745992024020708016</v>
      </c>
      <c r="AF1020" s="172" t="str">
        <f>IFERROR(VLOOKUP(AD1020,TD!$J$70:$K$93,2,0)," ")</f>
        <v>PM/0131/0108/45990160207</v>
      </c>
      <c r="AG1020" s="114" t="s">
        <v>385</v>
      </c>
      <c r="AH1020" s="175" t="s">
        <v>194</v>
      </c>
      <c r="AI1020" s="184" t="str">
        <f>CONCATENATE(PAA[[#This Row],[Id Interno]],"-",PAA[[#This Row],[tipo de Contrato (TH talento humano - B/S bienes y/o servicios)]],"-",S1020,"-",T1020,"-",PAA[[#This Row],[Objeto de la contratación]])</f>
        <v>20261068-TH-8126-9--Adición y prórroga del contrato No. 049 de 2026 cuyo objeto es "Prestar los servicios profesionales en la Oficina de Control Interno para el desarrollo del Plan Anual de Auditorías"</v>
      </c>
    </row>
    <row r="1021" spans="2:35" ht="42" x14ac:dyDescent="0.35">
      <c r="B1021" s="143">
        <v>20261069</v>
      </c>
      <c r="C1021" s="97" t="s">
        <v>1310</v>
      </c>
      <c r="D1021" s="23" t="s">
        <v>105</v>
      </c>
      <c r="E1021" s="23" t="s">
        <v>363</v>
      </c>
      <c r="F1021" s="23" t="s">
        <v>144</v>
      </c>
      <c r="G1021" s="124" t="s">
        <v>384</v>
      </c>
      <c r="H1021" s="131">
        <v>0</v>
      </c>
      <c r="I1021" s="131">
        <v>28</v>
      </c>
      <c r="J1021" s="122">
        <v>4363248</v>
      </c>
      <c r="K1021" s="88" t="s">
        <v>398</v>
      </c>
      <c r="L1021" s="163" t="s">
        <v>152</v>
      </c>
      <c r="M1021" s="166" t="s">
        <v>893</v>
      </c>
      <c r="N1021" s="23" t="s">
        <v>197</v>
      </c>
      <c r="O1021" s="166" t="s">
        <v>886</v>
      </c>
      <c r="P1021" s="166" t="s">
        <v>348</v>
      </c>
      <c r="Q1021" s="53">
        <v>80111600</v>
      </c>
      <c r="R1021" s="166" t="s">
        <v>208</v>
      </c>
      <c r="S1021" s="166" t="str">
        <f>MID(PAA[[#This Row],[Meta Proyecto de Inversión]],1,4)</f>
        <v>8126</v>
      </c>
      <c r="T1021" s="166" t="str">
        <f>MID(PAA[[#This Row],[Meta Proyecto de Inversión]],6,2)</f>
        <v>9-</v>
      </c>
      <c r="U1021" s="167" t="str">
        <f>IFERROR(VLOOKUP(N1021,TD!$B$54:$F$58,2,0)," ")</f>
        <v>O230117</v>
      </c>
      <c r="V1021" s="167" t="str">
        <f>IFERROR(VLOOKUP(N1021,TD!$B$54:$F$58,3,0)," ")</f>
        <v>4599</v>
      </c>
      <c r="W1021" s="167">
        <f>IFERROR(VLOOKUP(N1021,TD!$B$54:$F$58,4,0)," ")</f>
        <v>20240207</v>
      </c>
      <c r="X1021" s="166" t="s">
        <v>174</v>
      </c>
      <c r="Y1021" s="167" t="str">
        <f>IFERROR(VLOOKUP(X1021,TD!$J$55:$K$68,2,0)," ")</f>
        <v>Infraestructura física, mantenimiento y dotación (Sedes construidas, mantenidas reforzadas)</v>
      </c>
      <c r="Z1021" s="168" t="str">
        <f>CONCATENATE(X1021,"-",Y1021)</f>
        <v>08-Infraestructura física, mantenimiento y dotación (Sedes construidas, mantenidas reforzadas)</v>
      </c>
      <c r="AA1021" s="166" t="s">
        <v>227</v>
      </c>
      <c r="AB1021" s="167" t="str">
        <f>IFERROR(VLOOKUP(AA1021,TD!$N$55:$O$70,2,0)," ")</f>
        <v>Sedes mantenidas</v>
      </c>
      <c r="AC1021" s="168" t="str">
        <f>CONCATENATE(AA1021,"_",AB1021)</f>
        <v>016_Sedes mantenidas</v>
      </c>
      <c r="AD1021" s="168" t="str">
        <f>CONCATENATE(Z1021," ",AC1021)</f>
        <v>08-Infraestructura física, mantenimiento y dotación (Sedes construidas, mantenidas reforzadas) 016_Sedes mantenidas</v>
      </c>
      <c r="AE1021" s="167" t="str">
        <f>CONCATENATE(U1021,V1021,W1021,X1021,AA1021)</f>
        <v>O23011745992024020708016</v>
      </c>
      <c r="AF1021" s="172" t="str">
        <f>IFERROR(VLOOKUP(AD1021,TD!$J$70:$K$93,2,0)," ")</f>
        <v>PM/0131/0108/45990160207</v>
      </c>
      <c r="AG1021" s="114" t="s">
        <v>385</v>
      </c>
      <c r="AH1021" s="175" t="s">
        <v>194</v>
      </c>
      <c r="AI1021" s="184" t="str">
        <f>CONCATENATE(PAA[[#This Row],[Id Interno]],"-",PAA[[#This Row],[tipo de Contrato (TH talento humano - B/S bienes y/o servicios)]],"-",S1021,"-",T1021,"-",PAA[[#This Row],[Objeto de la contratación]])</f>
        <v>20261069-TH-8126-9--Adición y prórroga del contrato No. 056 de 2026 cuyo objeto es "Prestar los servicios profesionales en la Oficina de Control Interno para el desarrollo del Plan Anual de Auditorías"</v>
      </c>
    </row>
    <row r="1022" spans="2:35" ht="42" x14ac:dyDescent="0.35">
      <c r="B1022" s="137">
        <v>20261070</v>
      </c>
      <c r="C1022" s="117" t="s">
        <v>1311</v>
      </c>
      <c r="D1022" s="125" t="s">
        <v>105</v>
      </c>
      <c r="E1022" s="125" t="s">
        <v>363</v>
      </c>
      <c r="F1022" s="125" t="s">
        <v>144</v>
      </c>
      <c r="G1022" s="126" t="s">
        <v>384</v>
      </c>
      <c r="H1022" s="132">
        <v>0</v>
      </c>
      <c r="I1022" s="132">
        <v>30</v>
      </c>
      <c r="J1022" s="127">
        <v>6500000</v>
      </c>
      <c r="K1022" s="128" t="s">
        <v>398</v>
      </c>
      <c r="L1022" s="176" t="s">
        <v>152</v>
      </c>
      <c r="M1022" s="174" t="s">
        <v>893</v>
      </c>
      <c r="N1022" s="125" t="s">
        <v>197</v>
      </c>
      <c r="O1022" s="174" t="s">
        <v>886</v>
      </c>
      <c r="P1022" s="174" t="s">
        <v>348</v>
      </c>
      <c r="Q1022" s="129">
        <v>80111600</v>
      </c>
      <c r="R1022" s="174" t="s">
        <v>208</v>
      </c>
      <c r="S1022" s="174" t="str">
        <f>MID(PAA[[#This Row],[Meta Proyecto de Inversión]],1,4)</f>
        <v>8126</v>
      </c>
      <c r="T1022" s="174" t="str">
        <f>MID(PAA[[#This Row],[Meta Proyecto de Inversión]],6,2)</f>
        <v>9-</v>
      </c>
      <c r="U1022" s="179" t="str">
        <f>IFERROR(VLOOKUP(N1022,TD!$B$54:$F$58,2,0)," ")</f>
        <v>O230117</v>
      </c>
      <c r="V1022" s="179" t="str">
        <f>IFERROR(VLOOKUP(N1022,TD!$B$54:$F$58,3,0)," ")</f>
        <v>4599</v>
      </c>
      <c r="W1022" s="179">
        <f>IFERROR(VLOOKUP(N1022,TD!$B$54:$F$58,4,0)," ")</f>
        <v>20240207</v>
      </c>
      <c r="X1022" s="166" t="s">
        <v>174</v>
      </c>
      <c r="Y1022" s="167" t="str">
        <f>IFERROR(VLOOKUP(X1022,TD!$J$55:$K$68,2,0)," ")</f>
        <v>Infraestructura física, mantenimiento y dotación (Sedes construidas, mantenidas reforzadas)</v>
      </c>
      <c r="Z1022" s="180" t="str">
        <f>CONCATENATE(X1022,"-",Y1022)</f>
        <v>08-Infraestructura física, mantenimiento y dotación (Sedes construidas, mantenidas reforzadas)</v>
      </c>
      <c r="AA1022" s="166" t="s">
        <v>227</v>
      </c>
      <c r="AB1022" s="167" t="str">
        <f>IFERROR(VLOOKUP(AA1022,TD!$N$55:$O$70,2,0)," ")</f>
        <v>Sedes mantenidas</v>
      </c>
      <c r="AC1022" s="180" t="str">
        <f>CONCATENATE(AA1022,"_",AB1022)</f>
        <v>016_Sedes mantenidas</v>
      </c>
      <c r="AD1022" s="180" t="str">
        <f>CONCATENATE(Z1022," ",AC1022)</f>
        <v>08-Infraestructura física, mantenimiento y dotación (Sedes construidas, mantenidas reforzadas) 016_Sedes mantenidas</v>
      </c>
      <c r="AE1022" s="179" t="str">
        <f>CONCATENATE(U1022,V1022,W1022,X1022,AA1022)</f>
        <v>O23011745992024020708016</v>
      </c>
      <c r="AF1022" s="172" t="str">
        <f>IFERROR(VLOOKUP(AD1022,TD!$J$70:$K$93,2,0)," ")</f>
        <v>PM/0131/0108/45990160207</v>
      </c>
      <c r="AG1022" s="114" t="s">
        <v>385</v>
      </c>
      <c r="AH1022" s="175" t="s">
        <v>194</v>
      </c>
      <c r="AI1022" s="184" t="str">
        <f>CONCATENATE(PAA[[#This Row],[Id Interno]],"-",PAA[[#This Row],[tipo de Contrato (TH talento humano - B/S bienes y/o servicios)]],"-",S1022,"-",T1022,"-",PAA[[#This Row],[Objeto de la contratación]])</f>
        <v>20261070-TH-8126-9--Adición y prórroga del contrato No. 378 de 2026 cuyo objeto es "Prestar los servicios profesionales en la Oficina de Control Interno para el desarrollo del Plan Anual de Auditorías"</v>
      </c>
    </row>
    <row r="1023" spans="2:35" ht="42" x14ac:dyDescent="0.35">
      <c r="B1023" s="137">
        <v>20261071</v>
      </c>
      <c r="C1023" s="117" t="s">
        <v>1312</v>
      </c>
      <c r="D1023" s="125" t="s">
        <v>105</v>
      </c>
      <c r="E1023" s="125" t="s">
        <v>363</v>
      </c>
      <c r="F1023" s="125" t="s">
        <v>144</v>
      </c>
      <c r="G1023" s="126" t="s">
        <v>384</v>
      </c>
      <c r="H1023" s="132">
        <v>0</v>
      </c>
      <c r="I1023" s="132">
        <v>28</v>
      </c>
      <c r="J1023" s="127">
        <v>3657139</v>
      </c>
      <c r="K1023" s="128" t="s">
        <v>398</v>
      </c>
      <c r="L1023" s="176" t="s">
        <v>152</v>
      </c>
      <c r="M1023" s="174" t="s">
        <v>893</v>
      </c>
      <c r="N1023" s="125" t="s">
        <v>197</v>
      </c>
      <c r="O1023" s="174" t="s">
        <v>886</v>
      </c>
      <c r="P1023" s="174" t="s">
        <v>348</v>
      </c>
      <c r="Q1023" s="129">
        <v>80111600</v>
      </c>
      <c r="R1023" s="174" t="s">
        <v>208</v>
      </c>
      <c r="S1023" s="174" t="str">
        <f>MID(PAA[[#This Row],[Meta Proyecto de Inversión]],1,4)</f>
        <v>8126</v>
      </c>
      <c r="T1023" s="174" t="str">
        <f>MID(PAA[[#This Row],[Meta Proyecto de Inversión]],6,2)</f>
        <v>9-</v>
      </c>
      <c r="U1023" s="179" t="str">
        <f>IFERROR(VLOOKUP(N1023,TD!$B$54:$F$58,2,0)," ")</f>
        <v>O230117</v>
      </c>
      <c r="V1023" s="179" t="str">
        <f>IFERROR(VLOOKUP(N1023,TD!$B$54:$F$58,3,0)," ")</f>
        <v>4599</v>
      </c>
      <c r="W1023" s="179">
        <f>IFERROR(VLOOKUP(N1023,TD!$B$54:$F$58,4,0)," ")</f>
        <v>20240207</v>
      </c>
      <c r="X1023" s="174" t="s">
        <v>174</v>
      </c>
      <c r="Y1023" s="167" t="str">
        <f>IFERROR(VLOOKUP(X1023,TD!$J$55:$K$68,2,0)," ")</f>
        <v>Infraestructura física, mantenimiento y dotación (Sedes construidas, mantenidas reforzadas)</v>
      </c>
      <c r="Z1023" s="180" t="str">
        <f>CONCATENATE(X1023,"-",Y1023)</f>
        <v>08-Infraestructura física, mantenimiento y dotación (Sedes construidas, mantenidas reforzadas)</v>
      </c>
      <c r="AA1023" s="174" t="s">
        <v>227</v>
      </c>
      <c r="AB1023" s="167" t="str">
        <f>IFERROR(VLOOKUP(AA1023,TD!$N$55:$O$70,2,0)," ")</f>
        <v>Sedes mantenidas</v>
      </c>
      <c r="AC1023" s="180" t="str">
        <f>CONCATENATE(AA1023,"_",AB1023)</f>
        <v>016_Sedes mantenidas</v>
      </c>
      <c r="AD1023" s="180" t="str">
        <f>CONCATENATE(Z1023," ",AC1023)</f>
        <v>08-Infraestructura física, mantenimiento y dotación (Sedes construidas, mantenidas reforzadas) 016_Sedes mantenidas</v>
      </c>
      <c r="AE1023" s="179" t="str">
        <f>CONCATENATE(U1023,V1023,W1023,X1023,AA1023)</f>
        <v>O23011745992024020708016</v>
      </c>
      <c r="AF1023" s="172" t="str">
        <f>IFERROR(VLOOKUP(AD1023,TD!$J$70:$K$93,2,0)," ")</f>
        <v>PM/0131/0108/45990160207</v>
      </c>
      <c r="AG1023" s="130" t="s">
        <v>385</v>
      </c>
      <c r="AH1023" s="181" t="s">
        <v>194</v>
      </c>
      <c r="AI1023" s="184" t="str">
        <f>CONCATENATE(PAA[[#This Row],[Id Interno]],"-",PAA[[#This Row],[tipo de Contrato (TH talento humano - B/S bienes y/o servicios)]],"-",S1023,"-",T1023,"-",PAA[[#This Row],[Objeto de la contratación]])</f>
        <v>20261071-TH-8126-9--Adición y prórroga del contrato No. 073 de 2026 cuyo objeto es "Prestar servicios de apoyo a la gestión como técnico en la Oficina de Control Interno para ejecutar procesos y procedimientos administrativos y asistenciales teniendo en cuenta el Plan Anual de Auditorías".</v>
      </c>
    </row>
    <row r="1024" spans="2:35" ht="70" x14ac:dyDescent="0.35">
      <c r="B1024" s="137">
        <v>20261072</v>
      </c>
      <c r="C1024" s="117" t="s">
        <v>1313</v>
      </c>
      <c r="D1024" s="125" t="s">
        <v>105</v>
      </c>
      <c r="E1024" s="125" t="s">
        <v>363</v>
      </c>
      <c r="F1024" s="125" t="s">
        <v>144</v>
      </c>
      <c r="G1024" s="126" t="s">
        <v>384</v>
      </c>
      <c r="H1024" s="132">
        <v>0</v>
      </c>
      <c r="I1024" s="132">
        <v>30</v>
      </c>
      <c r="J1024" s="127">
        <v>7700000</v>
      </c>
      <c r="K1024" s="128" t="s">
        <v>398</v>
      </c>
      <c r="L1024" s="176" t="s">
        <v>152</v>
      </c>
      <c r="M1024" s="174" t="s">
        <v>893</v>
      </c>
      <c r="N1024" s="125" t="s">
        <v>197</v>
      </c>
      <c r="O1024" s="174" t="s">
        <v>886</v>
      </c>
      <c r="P1024" s="174" t="s">
        <v>348</v>
      </c>
      <c r="Q1024" s="129">
        <v>80111600</v>
      </c>
      <c r="R1024" s="174" t="s">
        <v>208</v>
      </c>
      <c r="S1024" s="174" t="str">
        <f>MID(PAA[[#This Row],[Meta Proyecto de Inversión]],1,4)</f>
        <v>8126</v>
      </c>
      <c r="T1024" s="174" t="str">
        <f>MID(PAA[[#This Row],[Meta Proyecto de Inversión]],6,2)</f>
        <v>9-</v>
      </c>
      <c r="U1024" s="179" t="str">
        <f>IFERROR(VLOOKUP(N1024,TD!$B$54:$F$58,2,0)," ")</f>
        <v>O230117</v>
      </c>
      <c r="V1024" s="179" t="str">
        <f>IFERROR(VLOOKUP(N1024,TD!$B$54:$F$58,3,0)," ")</f>
        <v>4599</v>
      </c>
      <c r="W1024" s="179">
        <f>IFERROR(VLOOKUP(N1024,TD!$B$54:$F$58,4,0)," ")</f>
        <v>20240207</v>
      </c>
      <c r="X1024" s="174" t="s">
        <v>174</v>
      </c>
      <c r="Y1024" s="167" t="str">
        <f>IFERROR(VLOOKUP(X1024,TD!$J$55:$K$68,2,0)," ")</f>
        <v>Infraestructura física, mantenimiento y dotación (Sedes construidas, mantenidas reforzadas)</v>
      </c>
      <c r="Z1024" s="180" t="str">
        <f>CONCATENATE(X1024,"-",Y1024)</f>
        <v>08-Infraestructura física, mantenimiento y dotación (Sedes construidas, mantenidas reforzadas)</v>
      </c>
      <c r="AA1024" s="174" t="s">
        <v>227</v>
      </c>
      <c r="AB1024" s="167" t="str">
        <f>IFERROR(VLOOKUP(AA1024,TD!$N$55:$O$70,2,0)," ")</f>
        <v>Sedes mantenidas</v>
      </c>
      <c r="AC1024" s="180" t="str">
        <f>CONCATENATE(AA1024,"_",AB1024)</f>
        <v>016_Sedes mantenidas</v>
      </c>
      <c r="AD1024" s="180" t="str">
        <f>CONCATENATE(Z1024," ",AC1024)</f>
        <v>08-Infraestructura física, mantenimiento y dotación (Sedes construidas, mantenidas reforzadas) 016_Sedes mantenidas</v>
      </c>
      <c r="AE1024" s="179" t="str">
        <f>CONCATENATE(U1024,V1024,W1024,X1024,AA1024)</f>
        <v>O23011745992024020708016</v>
      </c>
      <c r="AF1024" s="172" t="str">
        <f>IFERROR(VLOOKUP(AD1024,TD!$J$70:$K$93,2,0)," ")</f>
        <v>PM/0131/0108/45990160207</v>
      </c>
      <c r="AG1024" s="130" t="s">
        <v>385</v>
      </c>
      <c r="AH1024" s="181" t="s">
        <v>194</v>
      </c>
      <c r="AI1024" s="184" t="str">
        <f>CONCATENATE(PAA[[#This Row],[Id Interno]],"-",PAA[[#This Row],[tipo de Contrato (TH talento humano - B/S bienes y/o servicios)]],"-",S1024,"-",T1024,"-",PAA[[#This Row],[Objeto de la contratación]])</f>
        <v>20261072-TH-8126-9--Adición y prórroga del contrato No. 373 de 2026 cuyo objeto es "Prestar los servicios profesionales en la Oficina de Control Interno para el desarrollo del Plan Anual de Auditorías"</v>
      </c>
    </row>
    <row r="1025" spans="2:35" ht="42" x14ac:dyDescent="0.35">
      <c r="B1025" s="137">
        <v>20261074</v>
      </c>
      <c r="C1025" s="117" t="s">
        <v>1316</v>
      </c>
      <c r="D1025" s="125" t="s">
        <v>105</v>
      </c>
      <c r="E1025" s="125" t="s">
        <v>363</v>
      </c>
      <c r="F1025" s="125" t="s">
        <v>144</v>
      </c>
      <c r="G1025" s="126" t="s">
        <v>383</v>
      </c>
      <c r="H1025" s="132">
        <v>1</v>
      </c>
      <c r="I1025" s="132">
        <v>15</v>
      </c>
      <c r="J1025" s="127">
        <v>12000000</v>
      </c>
      <c r="K1025" s="128" t="s">
        <v>398</v>
      </c>
      <c r="L1025" s="176" t="s">
        <v>158</v>
      </c>
      <c r="M1025" s="174" t="s">
        <v>421</v>
      </c>
      <c r="N1025" s="125" t="s">
        <v>198</v>
      </c>
      <c r="O1025" s="174" t="s">
        <v>887</v>
      </c>
      <c r="P1025" s="174" t="s">
        <v>348</v>
      </c>
      <c r="Q1025" s="129">
        <v>80111600</v>
      </c>
      <c r="R1025" s="174" t="s">
        <v>211</v>
      </c>
      <c r="S1025" s="174" t="str">
        <f>MID(PAA[[#This Row],[Meta Proyecto de Inversión]],1,4)</f>
        <v>8173</v>
      </c>
      <c r="T1025" s="174" t="str">
        <f>MID(PAA[[#This Row],[Meta Proyecto de Inversión]],6,2)</f>
        <v>2-</v>
      </c>
      <c r="U1025" s="179" t="str">
        <f>IFERROR(VLOOKUP(N1025,TD!$B$54:$F$58,2,0)," ")</f>
        <v>O230117</v>
      </c>
      <c r="V1025" s="179" t="str">
        <f>IFERROR(VLOOKUP(N1025,TD!$B$54:$F$58,3,0)," ")</f>
        <v>4503</v>
      </c>
      <c r="W1025" s="179">
        <f>IFERROR(VLOOKUP(N1025,TD!$B$54:$F$58,4,0)," ")</f>
        <v>20240255</v>
      </c>
      <c r="X1025" s="174" t="s">
        <v>164</v>
      </c>
      <c r="Y1025" s="167" t="str">
        <f>IFERROR(VLOOKUP(X1025,TD!$J$55:$K$68,2,0)," ")</f>
        <v>Servicio de atención a incidentes y emergencias.</v>
      </c>
      <c r="Z1025" s="180" t="str">
        <f>CONCATENATE(X1025,"-",Y1025)</f>
        <v>04-Servicio de atención a incidentes y emergencias.</v>
      </c>
      <c r="AA1025" s="174" t="s">
        <v>221</v>
      </c>
      <c r="AB1025" s="167" t="str">
        <f>IFERROR(VLOOKUP(AA1025,TD!$N$55:$O$70,2,0)," ")</f>
        <v>Servicio de atención a emergencias y desastres</v>
      </c>
      <c r="AC1025" s="180" t="str">
        <f>CONCATENATE(AA1025,"_",AB1025)</f>
        <v>004_Servicio de atención a emergencias y desastres</v>
      </c>
      <c r="AD1025" s="180" t="str">
        <f>CONCATENATE(Z1025," ",AC1025)</f>
        <v>04-Servicio de atención a incidentes y emergencias. 004_Servicio de atención a emergencias y desastres</v>
      </c>
      <c r="AE1025" s="179" t="str">
        <f>CONCATENATE(U1025,V1025,W1025,X1025,AA1025)</f>
        <v>O23011745032024025504004</v>
      </c>
      <c r="AF1025" s="172" t="str">
        <f>IFERROR(VLOOKUP(AD1025,TD!$J$70:$K$93,2,0)," ")</f>
        <v>PM/0131/0104/45030040255</v>
      </c>
      <c r="AG1025" s="130" t="s">
        <v>385</v>
      </c>
      <c r="AH1025" s="181" t="s">
        <v>194</v>
      </c>
      <c r="AI1025" s="184" t="str">
        <f>CONCATENATE(PAA[[#This Row],[Id Interno]],"-",PAA[[#This Row],[tipo de Contrato (TH talento humano - B/S bienes y/o servicios)]],"-",S1025,"-",T1025,"-",PAA[[#This Row],[Objeto de la contratación]])</f>
        <v>20261074-TH-8173-2--adición y prórroga al contrato de prestación de servicios #082-2026, cuyo objeto es: "prestación de servicios profesionales para el fortalecimiento de los procesos de comunicaciones y en articulación con otras dependencias de la entidad y de los procesos y programas a cargo de la subdirección operativa-s.o."</v>
      </c>
    </row>
    <row r="1026" spans="2:35" ht="84" x14ac:dyDescent="0.35">
      <c r="B1026" s="137">
        <v>20261075</v>
      </c>
      <c r="C1026" s="117" t="s">
        <v>1317</v>
      </c>
      <c r="D1026" s="125" t="s">
        <v>105</v>
      </c>
      <c r="E1026" s="125" t="s">
        <v>363</v>
      </c>
      <c r="F1026" s="125" t="s">
        <v>144</v>
      </c>
      <c r="G1026" s="126" t="s">
        <v>383</v>
      </c>
      <c r="H1026" s="132">
        <v>2</v>
      </c>
      <c r="I1026" s="132">
        <v>15</v>
      </c>
      <c r="J1026" s="127">
        <v>24250000</v>
      </c>
      <c r="K1026" s="128" t="s">
        <v>398</v>
      </c>
      <c r="L1026" s="176" t="s">
        <v>158</v>
      </c>
      <c r="M1026" s="174" t="s">
        <v>421</v>
      </c>
      <c r="N1026" s="125" t="s">
        <v>198</v>
      </c>
      <c r="O1026" s="174" t="s">
        <v>887</v>
      </c>
      <c r="P1026" s="174" t="s">
        <v>348</v>
      </c>
      <c r="Q1026" s="129">
        <v>80111600</v>
      </c>
      <c r="R1026" s="174" t="s">
        <v>211</v>
      </c>
      <c r="S1026" s="174" t="str">
        <f>MID(PAA[[#This Row],[Meta Proyecto de Inversión]],1,4)</f>
        <v>8173</v>
      </c>
      <c r="T1026" s="174" t="str">
        <f>MID(PAA[[#This Row],[Meta Proyecto de Inversión]],6,2)</f>
        <v>2-</v>
      </c>
      <c r="U1026" s="179" t="str">
        <f>IFERROR(VLOOKUP(N1026,TD!$B$54:$F$58,2,0)," ")</f>
        <v>O230117</v>
      </c>
      <c r="V1026" s="179" t="str">
        <f>IFERROR(VLOOKUP(N1026,TD!$B$54:$F$58,3,0)," ")</f>
        <v>4503</v>
      </c>
      <c r="W1026" s="179">
        <f>IFERROR(VLOOKUP(N1026,TD!$B$54:$F$58,4,0)," ")</f>
        <v>20240255</v>
      </c>
      <c r="X1026" s="174" t="s">
        <v>164</v>
      </c>
      <c r="Y1026" s="167" t="str">
        <f>IFERROR(VLOOKUP(X1026,TD!$J$55:$K$68,2,0)," ")</f>
        <v>Servicio de atención a incidentes y emergencias.</v>
      </c>
      <c r="Z1026" s="180" t="str">
        <f>CONCATENATE(X1026,"-",Y1026)</f>
        <v>04-Servicio de atención a incidentes y emergencias.</v>
      </c>
      <c r="AA1026" s="174" t="s">
        <v>221</v>
      </c>
      <c r="AB1026" s="167" t="str">
        <f>IFERROR(VLOOKUP(AA1026,TD!$N$55:$O$70,2,0)," ")</f>
        <v>Servicio de atención a emergencias y desastres</v>
      </c>
      <c r="AC1026" s="180" t="str">
        <f>CONCATENATE(AA1026,"_",AB1026)</f>
        <v>004_Servicio de atención a emergencias y desastres</v>
      </c>
      <c r="AD1026" s="180" t="str">
        <f>CONCATENATE(Z1026," ",AC1026)</f>
        <v>04-Servicio de atención a incidentes y emergencias. 004_Servicio de atención a emergencias y desastres</v>
      </c>
      <c r="AE1026" s="179" t="str">
        <f>CONCATENATE(U1026,V1026,W1026,X1026,AA1026)</f>
        <v>O23011745032024025504004</v>
      </c>
      <c r="AF1026" s="172" t="str">
        <f>IFERROR(VLOOKUP(AD1026,TD!$J$70:$K$93,2,0)," ")</f>
        <v>PM/0131/0104/45030040255</v>
      </c>
      <c r="AG1026" s="130" t="s">
        <v>385</v>
      </c>
      <c r="AH1026" s="181" t="s">
        <v>194</v>
      </c>
      <c r="AI1026" s="184" t="str">
        <f>CONCATENATE(PAA[[#This Row],[Id Interno]],"-",PAA[[#This Row],[tipo de Contrato (TH talento humano - B/S bienes y/o servicios)]],"-",S1026,"-",T1026,"-",PAA[[#This Row],[Objeto de la contratación]])</f>
        <v>20261075-TH-8173-2--adición y prórroga al contrato de prestación de servicios #100-2026, cuyo objeto es: "prestar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1027" spans="2:35" ht="112" x14ac:dyDescent="0.35">
      <c r="B1027" s="137">
        <v>20261076</v>
      </c>
      <c r="C1027" s="117" t="s">
        <v>1318</v>
      </c>
      <c r="D1027" s="125" t="s">
        <v>105</v>
      </c>
      <c r="E1027" s="125" t="s">
        <v>363</v>
      </c>
      <c r="F1027" s="125" t="s">
        <v>144</v>
      </c>
      <c r="G1027" s="126" t="s">
        <v>383</v>
      </c>
      <c r="H1027" s="132">
        <v>1</v>
      </c>
      <c r="I1027" s="132">
        <v>0</v>
      </c>
      <c r="J1027" s="127">
        <v>2300166</v>
      </c>
      <c r="K1027" s="128" t="s">
        <v>398</v>
      </c>
      <c r="L1027" s="176" t="s">
        <v>158</v>
      </c>
      <c r="M1027" s="174" t="s">
        <v>421</v>
      </c>
      <c r="N1027" s="125" t="s">
        <v>198</v>
      </c>
      <c r="O1027" s="174" t="s">
        <v>887</v>
      </c>
      <c r="P1027" s="174" t="s">
        <v>348</v>
      </c>
      <c r="Q1027" s="129">
        <v>80111600</v>
      </c>
      <c r="R1027" s="174" t="s">
        <v>211</v>
      </c>
      <c r="S1027" s="174" t="str">
        <f>MID(PAA[[#This Row],[Meta Proyecto de Inversión]],1,4)</f>
        <v>8173</v>
      </c>
      <c r="T1027" s="174" t="str">
        <f>MID(PAA[[#This Row],[Meta Proyecto de Inversión]],6,2)</f>
        <v>2-</v>
      </c>
      <c r="U1027" s="179" t="str">
        <f>IFERROR(VLOOKUP(N1027,TD!$B$54:$F$58,2,0)," ")</f>
        <v>O230117</v>
      </c>
      <c r="V1027" s="179" t="str">
        <f>IFERROR(VLOOKUP(N1027,TD!$B$54:$F$58,3,0)," ")</f>
        <v>4503</v>
      </c>
      <c r="W1027" s="179">
        <f>IFERROR(VLOOKUP(N1027,TD!$B$54:$F$58,4,0)," ")</f>
        <v>20240255</v>
      </c>
      <c r="X1027" s="174" t="s">
        <v>164</v>
      </c>
      <c r="Y1027" s="167" t="str">
        <f>IFERROR(VLOOKUP(X1027,TD!$J$55:$K$68,2,0)," ")</f>
        <v>Servicio de atención a incidentes y emergencias.</v>
      </c>
      <c r="Z1027" s="180" t="str">
        <f>CONCATENATE(X1027,"-",Y1027)</f>
        <v>04-Servicio de atención a incidentes y emergencias.</v>
      </c>
      <c r="AA1027" s="174" t="s">
        <v>221</v>
      </c>
      <c r="AB1027" s="167" t="str">
        <f>IFERROR(VLOOKUP(AA1027,TD!$N$55:$O$70,2,0)," ")</f>
        <v>Servicio de atención a emergencias y desastres</v>
      </c>
      <c r="AC1027" s="180" t="str">
        <f>CONCATENATE(AA1027,"_",AB1027)</f>
        <v>004_Servicio de atención a emergencias y desastres</v>
      </c>
      <c r="AD1027" s="180" t="str">
        <f>CONCATENATE(Z1027," ",AC1027)</f>
        <v>04-Servicio de atención a incidentes y emergencias. 004_Servicio de atención a emergencias y desastres</v>
      </c>
      <c r="AE1027" s="179" t="str">
        <f>CONCATENATE(U1027,V1027,W1027,X1027,AA1027)</f>
        <v>O23011745032024025504004</v>
      </c>
      <c r="AF1027" s="172" t="str">
        <f>IFERROR(VLOOKUP(AD1027,TD!$J$70:$K$93,2,0)," ")</f>
        <v>PM/0131/0104/45030040255</v>
      </c>
      <c r="AG1027" s="130" t="s">
        <v>385</v>
      </c>
      <c r="AH1027" s="181" t="s">
        <v>194</v>
      </c>
      <c r="AI1027" s="184" t="str">
        <f>CONCATENATE(PAA[[#This Row],[Id Interno]],"-",PAA[[#This Row],[tipo de Contrato (TH talento humano - B/S bienes y/o servicios)]],"-",S1027,"-",T1027,"-",PAA[[#This Row],[Objeto de la contratación]])</f>
        <v>20261076-TH-8173-2--adición y prórroga al contrato de prestación de servicios #168-2026, cuyo objeto es: "prestación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1028" spans="2:35" ht="84" x14ac:dyDescent="0.35">
      <c r="B1028" s="137">
        <v>20261077</v>
      </c>
      <c r="C1028" s="117" t="s">
        <v>1319</v>
      </c>
      <c r="D1028" s="125" t="s">
        <v>105</v>
      </c>
      <c r="E1028" s="125" t="s">
        <v>363</v>
      </c>
      <c r="F1028" s="125" t="s">
        <v>144</v>
      </c>
      <c r="G1028" s="126" t="s">
        <v>383</v>
      </c>
      <c r="H1028" s="132">
        <v>2</v>
      </c>
      <c r="I1028" s="132">
        <v>0</v>
      </c>
      <c r="J1028" s="127">
        <v>2300166</v>
      </c>
      <c r="K1028" s="128" t="s">
        <v>398</v>
      </c>
      <c r="L1028" s="176" t="s">
        <v>158</v>
      </c>
      <c r="M1028" s="174" t="s">
        <v>421</v>
      </c>
      <c r="N1028" s="125" t="s">
        <v>198</v>
      </c>
      <c r="O1028" s="174" t="s">
        <v>887</v>
      </c>
      <c r="P1028" s="174" t="s">
        <v>348</v>
      </c>
      <c r="Q1028" s="129">
        <v>80111600</v>
      </c>
      <c r="R1028" s="174" t="s">
        <v>211</v>
      </c>
      <c r="S1028" s="174" t="str">
        <f>MID(PAA[[#This Row],[Meta Proyecto de Inversión]],1,4)</f>
        <v>8173</v>
      </c>
      <c r="T1028" s="174" t="str">
        <f>MID(PAA[[#This Row],[Meta Proyecto de Inversión]],6,2)</f>
        <v>2-</v>
      </c>
      <c r="U1028" s="179" t="str">
        <f>IFERROR(VLOOKUP(N1028,TD!$B$54:$F$58,2,0)," ")</f>
        <v>O230117</v>
      </c>
      <c r="V1028" s="179" t="str">
        <f>IFERROR(VLOOKUP(N1028,TD!$B$54:$F$58,3,0)," ")</f>
        <v>4503</v>
      </c>
      <c r="W1028" s="179">
        <f>IFERROR(VLOOKUP(N1028,TD!$B$54:$F$58,4,0)," ")</f>
        <v>20240255</v>
      </c>
      <c r="X1028" s="174" t="s">
        <v>164</v>
      </c>
      <c r="Y1028" s="167" t="str">
        <f>IFERROR(VLOOKUP(X1028,TD!$J$55:$K$68,2,0)," ")</f>
        <v>Servicio de atención a incidentes y emergencias.</v>
      </c>
      <c r="Z1028" s="180" t="str">
        <f>CONCATENATE(X1028,"-",Y1028)</f>
        <v>04-Servicio de atención a incidentes y emergencias.</v>
      </c>
      <c r="AA1028" s="174" t="s">
        <v>221</v>
      </c>
      <c r="AB1028" s="167" t="str">
        <f>IFERROR(VLOOKUP(AA1028,TD!$N$55:$O$70,2,0)," ")</f>
        <v>Servicio de atención a emergencias y desastres</v>
      </c>
      <c r="AC1028" s="180" t="str">
        <f>CONCATENATE(AA1028,"_",AB1028)</f>
        <v>004_Servicio de atención a emergencias y desastres</v>
      </c>
      <c r="AD1028" s="180" t="str">
        <f>CONCATENATE(Z1028," ",AC1028)</f>
        <v>04-Servicio de atención a incidentes y emergencias. 004_Servicio de atención a emergencias y desastres</v>
      </c>
      <c r="AE1028" s="179" t="str">
        <f>CONCATENATE(U1028,V1028,W1028,X1028,AA1028)</f>
        <v>O23011745032024025504004</v>
      </c>
      <c r="AF1028" s="172" t="str">
        <f>IFERROR(VLOOKUP(AD1028,TD!$J$70:$K$93,2,0)," ")</f>
        <v>PM/0131/0104/45030040255</v>
      </c>
      <c r="AG1028" s="130" t="s">
        <v>385</v>
      </c>
      <c r="AH1028" s="181" t="s">
        <v>194</v>
      </c>
      <c r="AI1028" s="184" t="str">
        <f>CONCATENATE(PAA[[#This Row],[Id Interno]],"-",PAA[[#This Row],[tipo de Contrato (TH talento humano - B/S bienes y/o servicios)]],"-",S1028,"-",T1028,"-",PAA[[#This Row],[Objeto de la contratación]])</f>
        <v>20261077-TH-8173-2--adición y prórroga al contrato de prestación de servicios #226-2026, cuyo objeto es: "prestar servicios profesionales para apoyar el fortalecimiento, articulación, seguimiento y gestión de los proyectos de inversión, planes e indicadores de gestión, para el desarrollo de los programas de la subdirección operativa-s.o."</v>
      </c>
    </row>
    <row r="1029" spans="2:35" ht="70" x14ac:dyDescent="0.35">
      <c r="B1029" s="137">
        <v>20261078</v>
      </c>
      <c r="C1029" s="117" t="s">
        <v>1320</v>
      </c>
      <c r="D1029" s="125" t="s">
        <v>105</v>
      </c>
      <c r="E1029" s="125" t="s">
        <v>363</v>
      </c>
      <c r="F1029" s="125" t="s">
        <v>144</v>
      </c>
      <c r="G1029" s="126" t="s">
        <v>383</v>
      </c>
      <c r="H1029" s="132">
        <v>1</v>
      </c>
      <c r="I1029" s="132">
        <v>0</v>
      </c>
      <c r="J1029" s="127">
        <v>2300167</v>
      </c>
      <c r="K1029" s="128" t="s">
        <v>398</v>
      </c>
      <c r="L1029" s="176" t="s">
        <v>158</v>
      </c>
      <c r="M1029" s="174" t="s">
        <v>421</v>
      </c>
      <c r="N1029" s="125" t="s">
        <v>198</v>
      </c>
      <c r="O1029" s="174" t="s">
        <v>887</v>
      </c>
      <c r="P1029" s="174" t="s">
        <v>348</v>
      </c>
      <c r="Q1029" s="129">
        <v>80111600</v>
      </c>
      <c r="R1029" s="174" t="s">
        <v>211</v>
      </c>
      <c r="S1029" s="174" t="str">
        <f>MID(PAA[[#This Row],[Meta Proyecto de Inversión]],1,4)</f>
        <v>8173</v>
      </c>
      <c r="T1029" s="174" t="str">
        <f>MID(PAA[[#This Row],[Meta Proyecto de Inversión]],6,2)</f>
        <v>2-</v>
      </c>
      <c r="U1029" s="179" t="str">
        <f>IFERROR(VLOOKUP(N1029,TD!$B$54:$F$58,2,0)," ")</f>
        <v>O230117</v>
      </c>
      <c r="V1029" s="179" t="str">
        <f>IFERROR(VLOOKUP(N1029,TD!$B$54:$F$58,3,0)," ")</f>
        <v>4503</v>
      </c>
      <c r="W1029" s="179">
        <f>IFERROR(VLOOKUP(N1029,TD!$B$54:$F$58,4,0)," ")</f>
        <v>20240255</v>
      </c>
      <c r="X1029" s="174" t="s">
        <v>164</v>
      </c>
      <c r="Y1029" s="167" t="str">
        <f>IFERROR(VLOOKUP(X1029,TD!$J$55:$K$68,2,0)," ")</f>
        <v>Servicio de atención a incidentes y emergencias.</v>
      </c>
      <c r="Z1029" s="180" t="str">
        <f>CONCATENATE(X1029,"-",Y1029)</f>
        <v>04-Servicio de atención a incidentes y emergencias.</v>
      </c>
      <c r="AA1029" s="174" t="s">
        <v>221</v>
      </c>
      <c r="AB1029" s="167" t="str">
        <f>IFERROR(VLOOKUP(AA1029,TD!$N$55:$O$70,2,0)," ")</f>
        <v>Servicio de atención a emergencias y desastres</v>
      </c>
      <c r="AC1029" s="180" t="str">
        <f>CONCATENATE(AA1029,"_",AB1029)</f>
        <v>004_Servicio de atención a emergencias y desastres</v>
      </c>
      <c r="AD1029" s="180" t="str">
        <f>CONCATENATE(Z1029," ",AC1029)</f>
        <v>04-Servicio de atención a incidentes y emergencias. 004_Servicio de atención a emergencias y desastres</v>
      </c>
      <c r="AE1029" s="179" t="str">
        <f>CONCATENATE(U1029,V1029,W1029,X1029,AA1029)</f>
        <v>O23011745032024025504004</v>
      </c>
      <c r="AF1029" s="172" t="str">
        <f>IFERROR(VLOOKUP(AD1029,TD!$J$70:$K$93,2,0)," ")</f>
        <v>PM/0131/0104/45030040255</v>
      </c>
      <c r="AG1029" s="130" t="s">
        <v>385</v>
      </c>
      <c r="AH1029" s="181" t="s">
        <v>194</v>
      </c>
      <c r="AI1029" s="184" t="str">
        <f>CONCATENATE(PAA[[#This Row],[Id Interno]],"-",PAA[[#This Row],[tipo de Contrato (TH talento humano - B/S bienes y/o servicios)]],"-",S1029,"-",T1029,"-",PAA[[#This Row],[Objeto de la contratación]])</f>
        <v>20261078-TH-8173-2--adición y prórroga al contrato de prestación de servicios #264-2026, cuyo objeto es: "prestación de servicios profesionales para apoyar en el análisis de información, reportes, y seguimientos relacionados con la atención de emergencias de la entidad y de los programas a cargo de la subdirección operativa-s.o."</v>
      </c>
    </row>
    <row r="1030" spans="2:35" ht="84" x14ac:dyDescent="0.35">
      <c r="B1030" s="137">
        <v>20261079</v>
      </c>
      <c r="C1030" s="117" t="s">
        <v>1322</v>
      </c>
      <c r="D1030" s="125" t="s">
        <v>105</v>
      </c>
      <c r="E1030" s="125" t="s">
        <v>402</v>
      </c>
      <c r="F1030" s="125" t="s">
        <v>106</v>
      </c>
      <c r="G1030" s="126" t="s">
        <v>382</v>
      </c>
      <c r="H1030" s="132">
        <v>2</v>
      </c>
      <c r="I1030" s="132">
        <v>0</v>
      </c>
      <c r="J1030" s="127">
        <v>28536200</v>
      </c>
      <c r="K1030" s="128" t="s">
        <v>398</v>
      </c>
      <c r="L1030" s="176" t="s">
        <v>155</v>
      </c>
      <c r="M1030" s="174" t="s">
        <v>422</v>
      </c>
      <c r="N1030" s="125" t="s">
        <v>330</v>
      </c>
      <c r="O1030" s="174" t="s">
        <v>886</v>
      </c>
      <c r="P1030" s="174" t="s">
        <v>161</v>
      </c>
      <c r="Q1030" s="129" t="s">
        <v>741</v>
      </c>
      <c r="R1030" s="174" t="s">
        <v>331</v>
      </c>
      <c r="S1030" s="174" t="str">
        <f>MID(PAA[[#This Row],[Meta Proyecto de Inversión]],1,4)</f>
        <v>No a</v>
      </c>
      <c r="T1030" s="174" t="str">
        <f>MID(PAA[[#This Row],[Meta Proyecto de Inversión]],6,2)</f>
        <v>li</v>
      </c>
      <c r="U1030" s="179" t="str">
        <f>IFERROR(VLOOKUP(N1030,TD!$B$54:$F$58,2,0)," ")</f>
        <v>NA</v>
      </c>
      <c r="V1030" s="179" t="str">
        <f>IFERROR(VLOOKUP(N1030,TD!$B$54:$F$58,3,0)," ")</f>
        <v>NA</v>
      </c>
      <c r="W1030" s="179" t="str">
        <f>IFERROR(VLOOKUP(N1030,TD!$B$54:$F$58,4,0)," ")</f>
        <v>NA</v>
      </c>
      <c r="X1030" s="174" t="s">
        <v>335</v>
      </c>
      <c r="Y1030" s="167" t="str">
        <f>IFERROR(VLOOKUP(X1030,TD!$J$55:$K$68,2,0)," ")</f>
        <v>N/A</v>
      </c>
      <c r="Z1030" s="180" t="str">
        <f>CONCATENATE(X1030,"-",Y1030)</f>
        <v>N/A-N/A</v>
      </c>
      <c r="AA1030" s="174" t="s">
        <v>335</v>
      </c>
      <c r="AB1030" s="167" t="str">
        <f>IFERROR(VLOOKUP(AA1030,TD!$N$55:$O$70,2,0)," ")</f>
        <v>N/A</v>
      </c>
      <c r="AC1030" s="180" t="str">
        <f>CONCATENATE(AA1030,"_",AB1030)</f>
        <v>N/A_N/A</v>
      </c>
      <c r="AD1030" s="180" t="str">
        <f>CONCATENATE(Z1030," ",AC1030)</f>
        <v>N/A-N/A N/A_N/A</v>
      </c>
      <c r="AE1030" s="179" t="str">
        <f>CONCATENATE(U1030,V1030,W1030,X1030,AA1030)</f>
        <v>NANANAN/AN/A</v>
      </c>
      <c r="AF1030" s="172" t="str">
        <f>IFERROR(VLOOKUP(AD1030,TD!$J$70:$K$93,2,0)," ")</f>
        <v>N/A</v>
      </c>
      <c r="AG1030" s="130" t="s">
        <v>332</v>
      </c>
      <c r="AH1030" s="181" t="s">
        <v>194</v>
      </c>
      <c r="AI1030" s="184" t="str">
        <f>CONCATENATE(PAA[[#This Row],[Id Interno]],"-",PAA[[#This Row],[tipo de Contrato (TH talento humano - B/S bienes y/o servicios)]],"-",S1030,"-",T1030,"-",PAA[[#This Row],[Objeto de la contratación]])</f>
        <v>20261079-BS-No a-li-Adición No.1 y prorroga No.1 al contrato 396-2026 cuyo objeto es  "Arrendamiento de instalaciones estación Ferias-SGC</v>
      </c>
    </row>
    <row r="1031" spans="2:35" ht="42" x14ac:dyDescent="0.35">
      <c r="B1031" s="137">
        <v>20261080</v>
      </c>
      <c r="C1031" s="117" t="s">
        <v>1324</v>
      </c>
      <c r="D1031" s="125" t="s">
        <v>119</v>
      </c>
      <c r="E1031" s="125" t="s">
        <v>402</v>
      </c>
      <c r="F1031" s="125" t="s">
        <v>128</v>
      </c>
      <c r="G1031" s="126" t="s">
        <v>382</v>
      </c>
      <c r="H1031" s="132">
        <v>0</v>
      </c>
      <c r="I1031" s="132">
        <v>0</v>
      </c>
      <c r="J1031" s="127">
        <v>7403786</v>
      </c>
      <c r="K1031" s="128" t="s">
        <v>398</v>
      </c>
      <c r="L1031" s="176" t="s">
        <v>155</v>
      </c>
      <c r="M1031" s="174" t="s">
        <v>422</v>
      </c>
      <c r="N1031" s="125" t="s">
        <v>198</v>
      </c>
      <c r="O1031" s="174" t="s">
        <v>887</v>
      </c>
      <c r="P1031" s="174" t="s">
        <v>162</v>
      </c>
      <c r="Q1031" s="129" t="s">
        <v>335</v>
      </c>
      <c r="R1031" s="174" t="s">
        <v>216</v>
      </c>
      <c r="S1031" s="174" t="str">
        <f>MID(PAA[[#This Row],[Meta Proyecto de Inversión]],1,4)</f>
        <v>8173</v>
      </c>
      <c r="T1031" s="174" t="str">
        <f>MID(PAA[[#This Row],[Meta Proyecto de Inversión]],6,2)</f>
        <v>7-</v>
      </c>
      <c r="U1031" s="179" t="str">
        <f>IFERROR(VLOOKUP(N1031,TD!$B$54:$F$58,2,0)," ")</f>
        <v>O230117</v>
      </c>
      <c r="V1031" s="179" t="str">
        <f>IFERROR(VLOOKUP(N1031,TD!$B$54:$F$58,3,0)," ")</f>
        <v>4503</v>
      </c>
      <c r="W1031" s="179">
        <f>IFERROR(VLOOKUP(N1031,TD!$B$54:$F$58,4,0)," ")</f>
        <v>20240255</v>
      </c>
      <c r="X1031" s="174">
        <v>14</v>
      </c>
      <c r="Y1031" s="167" t="str">
        <f>IFERROR(VLOOKUP(X1031,TD!$J$55:$K$68,2,0)," ")</f>
        <v xml:space="preserve">Infraestructura física misional construida mantenida y dotada </v>
      </c>
      <c r="Z1031" s="180" t="str">
        <f>CONCATENATE(X1031,"-",Y1031)</f>
        <v xml:space="preserve">14-Infraestructura física misional construida mantenida y dotada </v>
      </c>
      <c r="AA1031" s="174" t="s">
        <v>225</v>
      </c>
      <c r="AB1031" s="167" t="str">
        <f>IFERROR(VLOOKUP(AA1031,TD!$N$55:$O$70,2,0)," ")</f>
        <v>Estaciones de bomberos adecuadas</v>
      </c>
      <c r="AC1031" s="180" t="str">
        <f>CONCATENATE(AA1031,"_",AB1031)</f>
        <v>014_Estaciones de bomberos adecuadas</v>
      </c>
      <c r="AD1031" s="180" t="str">
        <f>CONCATENATE(Z1031," ",AC1031)</f>
        <v>14-Infraestructura física misional construida mantenida y dotada  014_Estaciones de bomberos adecuadas</v>
      </c>
      <c r="AE1031" s="179" t="str">
        <f>CONCATENATE(U1031,V1031,W1031,X1031,AA1031)</f>
        <v>O23011745032024025514014</v>
      </c>
      <c r="AF1031" s="172" t="str">
        <f>IFERROR(VLOOKUP(AD1031,TD!$J$70:$K$93,2,0)," ")</f>
        <v>PM/0131/0114/45030140255</v>
      </c>
      <c r="AG1031" s="130" t="s">
        <v>94</v>
      </c>
      <c r="AH1031" s="181" t="s">
        <v>194</v>
      </c>
      <c r="AI1031" s="184" t="str">
        <f>CONCATENATE(PAA[[#This Row],[Id Interno]],"-",PAA[[#This Row],[tipo de Contrato (TH talento humano - B/S bienes y/o servicios)]],"-",S1031,"-",T1031,"-",PAA[[#This Row],[Objeto de la contratación]])</f>
        <v>20261080-BS-8173-7--Reconocimiento y pago Pasivo Exigible contrato de consultoria No 587-2022 suscrito con PROYECTOS Y CONSULTORIAS ORION SAS.,  cuyo objeto es Realizar la interventoría técnica, administrativa, legal, financiera, contable, seguridad y salud en el trabajo, social y ambiental del contrato con objeto "realizar la adecuación y mejoramiento de las instalaciones de las estaciones de Bomberos de la UAE Cuerpo oficial de Bomberos Bogotá"-SGC</v>
      </c>
    </row>
    <row r="1032" spans="2:35" ht="42" x14ac:dyDescent="0.35">
      <c r="B1032" s="137">
        <v>20261081</v>
      </c>
      <c r="C1032" s="117" t="s">
        <v>1323</v>
      </c>
      <c r="D1032" s="125" t="s">
        <v>114</v>
      </c>
      <c r="E1032" s="125" t="s">
        <v>402</v>
      </c>
      <c r="F1032" s="125" t="s">
        <v>89</v>
      </c>
      <c r="G1032" s="126" t="s">
        <v>382</v>
      </c>
      <c r="H1032" s="132">
        <v>2</v>
      </c>
      <c r="I1032" s="132">
        <v>16</v>
      </c>
      <c r="J1032" s="127">
        <v>44035054</v>
      </c>
      <c r="K1032" s="128" t="s">
        <v>398</v>
      </c>
      <c r="L1032" s="176" t="s">
        <v>155</v>
      </c>
      <c r="M1032" s="174" t="s">
        <v>422</v>
      </c>
      <c r="N1032" s="125" t="s">
        <v>330</v>
      </c>
      <c r="O1032" s="174" t="s">
        <v>886</v>
      </c>
      <c r="P1032" s="174" t="s">
        <v>161</v>
      </c>
      <c r="Q1032" s="129" t="s">
        <v>739</v>
      </c>
      <c r="R1032" s="174" t="s">
        <v>331</v>
      </c>
      <c r="S1032" s="174" t="str">
        <f>MID(PAA[[#This Row],[Meta Proyecto de Inversión]],1,4)</f>
        <v>No a</v>
      </c>
      <c r="T1032" s="174" t="str">
        <f>MID(PAA[[#This Row],[Meta Proyecto de Inversión]],6,2)</f>
        <v>li</v>
      </c>
      <c r="U1032" s="179" t="str">
        <f>IFERROR(VLOOKUP(N1032,TD!$B$54:$F$58,2,0)," ")</f>
        <v>NA</v>
      </c>
      <c r="V1032" s="179" t="str">
        <f>IFERROR(VLOOKUP(N1032,TD!$B$54:$F$58,3,0)," ")</f>
        <v>NA</v>
      </c>
      <c r="W1032" s="179" t="str">
        <f>IFERROR(VLOOKUP(N1032,TD!$B$54:$F$58,4,0)," ")</f>
        <v>NA</v>
      </c>
      <c r="X1032" s="174" t="s">
        <v>335</v>
      </c>
      <c r="Y1032" s="167" t="str">
        <f>IFERROR(VLOOKUP(X1032,TD!$J$55:$K$68,2,0)," ")</f>
        <v>N/A</v>
      </c>
      <c r="Z1032" s="180" t="str">
        <f>CONCATENATE(X1032,"-",Y1032)</f>
        <v>N/A-N/A</v>
      </c>
      <c r="AA1032" s="174" t="s">
        <v>335</v>
      </c>
      <c r="AB1032" s="167" t="str">
        <f>IFERROR(VLOOKUP(AA1032,TD!$N$55:$O$70,2,0)," ")</f>
        <v>N/A</v>
      </c>
      <c r="AC1032" s="180" t="str">
        <f>CONCATENATE(AA1032,"_",AB1032)</f>
        <v>N/A_N/A</v>
      </c>
      <c r="AD1032" s="180" t="str">
        <f>CONCATENATE(Z1032," ",AC1032)</f>
        <v>N/A-N/A N/A_N/A</v>
      </c>
      <c r="AE1032" s="179" t="str">
        <f>CONCATENATE(U1032,V1032,W1032,X1032,AA1032)</f>
        <v>NANANAN/AN/A</v>
      </c>
      <c r="AF1032" s="172" t="str">
        <f>IFERROR(VLOOKUP(AD1032,TD!$J$70:$K$93,2,0)," ")</f>
        <v>N/A</v>
      </c>
      <c r="AG1032" s="130" t="s">
        <v>332</v>
      </c>
      <c r="AH1032" s="181" t="s">
        <v>194</v>
      </c>
      <c r="AI1032" s="184" t="str">
        <f>CONCATENATE(PAA[[#This Row],[Id Interno]],"-",PAA[[#This Row],[tipo de Contrato (TH talento humano - B/S bienes y/o servicios)]],"-",S1032,"-",T1032,"-",PAA[[#This Row],[Objeto de la contratación]])</f>
        <v>20261081-BS-No a-li-Adición No.1 y prorroga No.1 al contrato 492-2026 cuyo objeto es: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1033" spans="2:35" ht="65.5" customHeight="1" x14ac:dyDescent="0.35">
      <c r="B1033" s="137">
        <v>20261082</v>
      </c>
      <c r="C1033" s="117" t="s">
        <v>1325</v>
      </c>
      <c r="D1033" s="125" t="s">
        <v>105</v>
      </c>
      <c r="E1033" s="125" t="s">
        <v>363</v>
      </c>
      <c r="F1033" s="125" t="s">
        <v>144</v>
      </c>
      <c r="G1033" s="126" t="s">
        <v>382</v>
      </c>
      <c r="H1033" s="132">
        <v>3</v>
      </c>
      <c r="I1033" s="132">
        <v>0</v>
      </c>
      <c r="J1033" s="127">
        <v>21000000</v>
      </c>
      <c r="K1033" s="128" t="s">
        <v>398</v>
      </c>
      <c r="L1033" s="176" t="s">
        <v>36</v>
      </c>
      <c r="M1033" s="174" t="s">
        <v>468</v>
      </c>
      <c r="N1033" s="125" t="s">
        <v>197</v>
      </c>
      <c r="O1033" s="174" t="s">
        <v>886</v>
      </c>
      <c r="P1033" s="174" t="s">
        <v>348</v>
      </c>
      <c r="Q1033" s="129">
        <v>80111600</v>
      </c>
      <c r="R1033" s="174" t="s">
        <v>200</v>
      </c>
      <c r="S1033" s="174" t="str">
        <f>MID(PAA[[#This Row],[Meta Proyecto de Inversión]],1,4)</f>
        <v>8126</v>
      </c>
      <c r="T1033" s="174" t="str">
        <f>MID(PAA[[#This Row],[Meta Proyecto de Inversión]],6,2)</f>
        <v>1-</v>
      </c>
      <c r="U1033" s="179" t="str">
        <f>IFERROR(VLOOKUP(N1033,TD!$B$54:$F$58,2,0)," ")</f>
        <v>O230117</v>
      </c>
      <c r="V1033" s="179" t="str">
        <f>IFERROR(VLOOKUP(N1033,TD!$B$54:$F$58,3,0)," ")</f>
        <v>4599</v>
      </c>
      <c r="W1033" s="179">
        <f>IFERROR(VLOOKUP(N1033,TD!$B$54:$F$58,4,0)," ")</f>
        <v>20240207</v>
      </c>
      <c r="X1033" s="174" t="s">
        <v>182</v>
      </c>
      <c r="Y1033" s="167" t="str">
        <f>IFERROR(VLOOKUP(X1033,TD!$J$55:$K$68,2,0)," ")</f>
        <v>Servicios para la planeación y sistemas de gestión y comunicación estratégica</v>
      </c>
      <c r="Z1033" s="180" t="str">
        <f>CONCATENATE(X1033,"-",Y1033)</f>
        <v>13-Servicios para la planeación y sistemas de gestión y comunicación estratégica</v>
      </c>
      <c r="AA1033" s="174" t="s">
        <v>229</v>
      </c>
      <c r="AB1033" s="167" t="str">
        <f>IFERROR(VLOOKUP(AA1033,TD!$N$55:$O$70,2,0)," ")</f>
        <v>Servicio de asistencia técnica</v>
      </c>
      <c r="AC1033" s="180" t="str">
        <f>CONCATENATE(AA1033,"_",AB1033)</f>
        <v>031_Servicio de asistencia técnica</v>
      </c>
      <c r="AD1033" s="180" t="str">
        <f>CONCATENATE(Z1033," ",AC1033)</f>
        <v>13-Servicios para la planeación y sistemas de gestión y comunicación estratégica 031_Servicio de asistencia técnica</v>
      </c>
      <c r="AE1033" s="179" t="str">
        <f>CONCATENATE(U1033,V1033,W1033,X1033,AA1033)</f>
        <v>O23011745992024020713031</v>
      </c>
      <c r="AF1033" s="172" t="str">
        <f>IFERROR(VLOOKUP(AD1033,TD!$J$70:$K$93,2,0)," ")</f>
        <v>PM/0131/0113/45990310207</v>
      </c>
      <c r="AG1033" s="130" t="s">
        <v>385</v>
      </c>
      <c r="AH1033" s="181" t="s">
        <v>193</v>
      </c>
      <c r="AI1033" s="184" t="str">
        <f>CONCATENATE(PAA[[#This Row],[Id Interno]],"-",PAA[[#This Row],[tipo de Contrato (TH talento humano - B/S bienes y/o servicios)]],"-",S1033,"-",T1033,"-",PAA[[#This Row],[Objeto de la contratación]])</f>
        <v>20261082-TH-8126-1--Prestar servicios profesionales a la Oficina Asesora de Planeación para fortalecer la gestión del proceso de Gestión de Tecnologías de la Información y las Comunicaciones, contribuyendo al fortalecimiento organizacional. Asimismo, apoyar el seguimiento y control de los planes de mejoramiento, en el marco del Modelo Integrado de Planeación y Gestión - MIPG.</v>
      </c>
    </row>
    <row r="1034" spans="2:35" ht="108.5" customHeight="1" x14ac:dyDescent="0.35">
      <c r="B1034" s="137">
        <v>20261085</v>
      </c>
      <c r="C1034" s="117" t="s">
        <v>1328</v>
      </c>
      <c r="D1034" s="125" t="s">
        <v>105</v>
      </c>
      <c r="E1034" s="125" t="s">
        <v>363</v>
      </c>
      <c r="F1034" s="125" t="s">
        <v>144</v>
      </c>
      <c r="G1034" s="126" t="s">
        <v>383</v>
      </c>
      <c r="H1034" s="132">
        <v>2</v>
      </c>
      <c r="I1034" s="132">
        <v>0</v>
      </c>
      <c r="J1034" s="127">
        <v>13983333</v>
      </c>
      <c r="K1034" s="128" t="s">
        <v>398</v>
      </c>
      <c r="L1034" s="176" t="s">
        <v>151</v>
      </c>
      <c r="M1034" s="174" t="s">
        <v>401</v>
      </c>
      <c r="N1034" s="125" t="s">
        <v>197</v>
      </c>
      <c r="O1034" s="174" t="s">
        <v>886</v>
      </c>
      <c r="P1034" s="174" t="s">
        <v>348</v>
      </c>
      <c r="Q1034" s="129">
        <v>80111600</v>
      </c>
      <c r="R1034" s="174" t="s">
        <v>203</v>
      </c>
      <c r="S1034" s="174" t="str">
        <f>MID(PAA[[#This Row],[Meta Proyecto de Inversión]],1,4)</f>
        <v>8126</v>
      </c>
      <c r="T1034" s="174" t="str">
        <f>MID(PAA[[#This Row],[Meta Proyecto de Inversión]],6,2)</f>
        <v>4-</v>
      </c>
      <c r="U1034" s="179" t="str">
        <f>IFERROR(VLOOKUP(N1034,TD!$B$54:$F$58,2,0)," ")</f>
        <v>O230117</v>
      </c>
      <c r="V1034" s="179" t="str">
        <f>IFERROR(VLOOKUP(N1034,TD!$B$54:$F$58,3,0)," ")</f>
        <v>4599</v>
      </c>
      <c r="W1034" s="179">
        <f>IFERROR(VLOOKUP(N1034,TD!$B$54:$F$58,4,0)," ")</f>
        <v>20240207</v>
      </c>
      <c r="X1034" s="174" t="s">
        <v>168</v>
      </c>
      <c r="Y1034" s="167" t="str">
        <f>IFERROR(VLOOKUP(X1034,TD!$J$55:$K$68,2,0)," ")</f>
        <v>Infraestructura Tecnológica   (Sistemas de Información y Tecnologia)</v>
      </c>
      <c r="Z1034" s="180" t="str">
        <f>CONCATENATE(X1034,"-",Y1034)</f>
        <v>11-Infraestructura Tecnológica   (Sistemas de Información y Tecnologia)</v>
      </c>
      <c r="AA1034" s="174" t="s">
        <v>228</v>
      </c>
      <c r="AB1034" s="167" t="str">
        <f>IFERROR(VLOOKUP(AA1034,TD!$N$55:$O$70,2,0)," ")</f>
        <v>Servicios tecnológicos</v>
      </c>
      <c r="AC1034" s="180" t="str">
        <f>CONCATENATE(AA1034,"_",AB1034)</f>
        <v>007_Servicios tecnológicos</v>
      </c>
      <c r="AD1034" s="180" t="str">
        <f>CONCATENATE(Z1034," ",AC1034)</f>
        <v>11-Infraestructura Tecnológica   (Sistemas de Información y Tecnologia) 007_Servicios tecnológicos</v>
      </c>
      <c r="AE1034" s="179" t="str">
        <f>CONCATENATE(U1034,V1034,W1034,X1034,AA1034)</f>
        <v>O23011745992024020711007</v>
      </c>
      <c r="AF1034" s="172" t="str">
        <f>IFERROR(VLOOKUP(AD1034,TD!$J$70:$K$93,2,0)," ")</f>
        <v>PM/0131/0111/45990070207</v>
      </c>
      <c r="AG1034" s="130" t="s">
        <v>385</v>
      </c>
      <c r="AH1034" s="181" t="s">
        <v>193</v>
      </c>
      <c r="AI1034" s="184" t="str">
        <f>CONCATENATE(PAA[[#This Row],[Id Interno]],"-",PAA[[#This Row],[tipo de Contrato (TH talento humano - B/S bienes y/o servicios)]],"-",S1034,"-",T1034,"-",PAA[[#This Row],[Objeto de la contratación]])</f>
        <v>20261085-TH-8126-4--Prestar los servicios profesionales en apoyo a la estructuración e implementación de las herramientas misionales, desarrolladas como soporte a los procesos y procedimientos de la U.A.E. Cuerpo Oficial de Bomberos de Bogotá.</v>
      </c>
    </row>
    <row r="1035" spans="2:35" ht="42" x14ac:dyDescent="0.35">
      <c r="B1035" s="137">
        <v>20261086</v>
      </c>
      <c r="C1035" s="117" t="s">
        <v>1329</v>
      </c>
      <c r="D1035" s="125" t="s">
        <v>105</v>
      </c>
      <c r="E1035" s="125" t="s">
        <v>363</v>
      </c>
      <c r="F1035" s="125" t="s">
        <v>144</v>
      </c>
      <c r="G1035" s="126" t="s">
        <v>384</v>
      </c>
      <c r="H1035" s="132">
        <v>0</v>
      </c>
      <c r="I1035" s="132">
        <v>26</v>
      </c>
      <c r="J1035" s="127">
        <v>6760000</v>
      </c>
      <c r="K1035" s="128" t="s">
        <v>398</v>
      </c>
      <c r="L1035" s="176" t="s">
        <v>151</v>
      </c>
      <c r="M1035" s="174" t="s">
        <v>401</v>
      </c>
      <c r="N1035" s="125" t="s">
        <v>197</v>
      </c>
      <c r="O1035" s="174" t="s">
        <v>886</v>
      </c>
      <c r="P1035" s="174" t="s">
        <v>348</v>
      </c>
      <c r="Q1035" s="129">
        <v>80111600</v>
      </c>
      <c r="R1035" s="174" t="s">
        <v>204</v>
      </c>
      <c r="S1035" s="174" t="str">
        <f>MID(PAA[[#This Row],[Meta Proyecto de Inversión]],1,4)</f>
        <v>8126</v>
      </c>
      <c r="T1035" s="174" t="str">
        <f>MID(PAA[[#This Row],[Meta Proyecto de Inversión]],6,2)</f>
        <v>5-</v>
      </c>
      <c r="U1035" s="179" t="str">
        <f>IFERROR(VLOOKUP(N1035,TD!$B$54:$F$58,2,0)," ")</f>
        <v>O230117</v>
      </c>
      <c r="V1035" s="179" t="str">
        <f>IFERROR(VLOOKUP(N1035,TD!$B$54:$F$58,3,0)," ")</f>
        <v>4599</v>
      </c>
      <c r="W1035" s="179">
        <f>IFERROR(VLOOKUP(N1035,TD!$B$54:$F$58,4,0)," ")</f>
        <v>20240207</v>
      </c>
      <c r="X1035" s="174" t="s">
        <v>168</v>
      </c>
      <c r="Y1035" s="167" t="str">
        <f>IFERROR(VLOOKUP(X1035,TD!$J$55:$K$68,2,0)," ")</f>
        <v>Infraestructura Tecnológica   (Sistemas de Información y Tecnologia)</v>
      </c>
      <c r="Z1035" s="180" t="str">
        <f>CONCATENATE(X1035,"-",Y1035)</f>
        <v>11-Infraestructura Tecnológica   (Sistemas de Información y Tecnologia)</v>
      </c>
      <c r="AA1035" s="174" t="s">
        <v>228</v>
      </c>
      <c r="AB1035" s="167" t="str">
        <f>IFERROR(VLOOKUP(AA1035,TD!$N$55:$O$70,2,0)," ")</f>
        <v>Servicios tecnológicos</v>
      </c>
      <c r="AC1035" s="180" t="str">
        <f>CONCATENATE(AA1035,"_",AB1035)</f>
        <v>007_Servicios tecnológicos</v>
      </c>
      <c r="AD1035" s="180" t="str">
        <f>CONCATENATE(Z1035," ",AC1035)</f>
        <v>11-Infraestructura Tecnológica   (Sistemas de Información y Tecnologia) 007_Servicios tecnológicos</v>
      </c>
      <c r="AE1035" s="179" t="str">
        <f>CONCATENATE(U1035,V1035,W1035,X1035,AA1035)</f>
        <v>O23011745992024020711007</v>
      </c>
      <c r="AF1035" s="172" t="str">
        <f>IFERROR(VLOOKUP(AD1035,TD!$J$70:$K$93,2,0)," ")</f>
        <v>PM/0131/0111/45990070207</v>
      </c>
      <c r="AG1035" s="130" t="s">
        <v>385</v>
      </c>
      <c r="AH1035" s="181" t="s">
        <v>194</v>
      </c>
      <c r="AI1035" s="184" t="str">
        <f>CONCATENATE(PAA[[#This Row],[Id Interno]],"-",PAA[[#This Row],[tipo de Contrato (TH talento humano - B/S bienes y/o servicios)]],"-",S1035,"-",T1035,"-",PAA[[#This Row],[Objeto de la contratación]])</f>
        <v>20261086-TH-8126-5--Adición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1036" spans="2:35" ht="56" x14ac:dyDescent="0.35">
      <c r="B1036" s="137">
        <v>20261087</v>
      </c>
      <c r="C1036" s="117" t="s">
        <v>1334</v>
      </c>
      <c r="D1036" s="125" t="s">
        <v>105</v>
      </c>
      <c r="E1036" s="125" t="s">
        <v>363</v>
      </c>
      <c r="F1036" s="125" t="s">
        <v>145</v>
      </c>
      <c r="G1036" s="126" t="s">
        <v>382</v>
      </c>
      <c r="H1036" s="132">
        <v>5</v>
      </c>
      <c r="I1036" s="132">
        <v>0</v>
      </c>
      <c r="J1036" s="127">
        <v>18000000</v>
      </c>
      <c r="K1036" s="128" t="s">
        <v>398</v>
      </c>
      <c r="L1036" s="176" t="s">
        <v>157</v>
      </c>
      <c r="M1036" s="186" t="s">
        <v>483</v>
      </c>
      <c r="N1036" s="125" t="s">
        <v>198</v>
      </c>
      <c r="O1036" s="174" t="s">
        <v>887</v>
      </c>
      <c r="P1036" s="174" t="s">
        <v>348</v>
      </c>
      <c r="Q1036" s="129">
        <v>80111600</v>
      </c>
      <c r="R1036" s="174" t="s">
        <v>213</v>
      </c>
      <c r="S1036" s="174" t="str">
        <f>MID(PAA[[#This Row],[Meta Proyecto de Inversión]],1,4)</f>
        <v>8173</v>
      </c>
      <c r="T1036" s="174" t="str">
        <f>MID(PAA[[#This Row],[Meta Proyecto de Inversión]],6,2)</f>
        <v>4-</v>
      </c>
      <c r="U1036" s="179" t="str">
        <f>IFERROR(VLOOKUP(N1036,TD!$B$54:$F$58,2,0)," ")</f>
        <v>O230117</v>
      </c>
      <c r="V1036" s="179" t="str">
        <f>IFERROR(VLOOKUP(N1036,TD!$B$54:$F$58,3,0)," ")</f>
        <v>4503</v>
      </c>
      <c r="W1036" s="179">
        <f>IFERROR(VLOOKUP(N1036,TD!$B$54:$F$58,4,0)," ")</f>
        <v>20240255</v>
      </c>
      <c r="X1036" s="174" t="s">
        <v>176</v>
      </c>
      <c r="Y1036" s="167" t="str">
        <f>IFERROR(VLOOKUP(X1036,TD!$J$55:$K$68,2,0)," ")</f>
        <v>Servicio de mantenimiento, dotación (HEA´s y equipo menor) y adquisición de vehiculos   especializados para la atención de emergencias.</v>
      </c>
      <c r="Z1036" s="180" t="str">
        <f>CONCATENATE(X1036,"-",Y1036)</f>
        <v>09-Servicio de mantenimiento, dotación (HEA´s y equipo menor) y adquisición de vehiculos   especializados para la atención de emergencias.</v>
      </c>
      <c r="AA1036" s="174" t="s">
        <v>221</v>
      </c>
      <c r="AB1036" s="167" t="str">
        <f>IFERROR(VLOOKUP(AA1036,TD!$N$55:$O$70,2,0)," ")</f>
        <v>Servicio de atención a emergencias y desastres</v>
      </c>
      <c r="AC1036" s="180" t="str">
        <f>CONCATENATE(AA1036,"_",AB1036)</f>
        <v>004_Servicio de atención a emergencias y desastres</v>
      </c>
      <c r="AD1036" s="180" t="str">
        <f>CONCATENATE(Z1036," ",AC1036)</f>
        <v>09-Servicio de mantenimiento, dotación (HEA´s y equipo menor) y adquisición de vehiculos   especializados para la atención de emergencias. 004_Servicio de atención a emergencias y desastres</v>
      </c>
      <c r="AE1036" s="179" t="str">
        <f>CONCATENATE(U1036,V1036,W1036,X1036,AA1036)</f>
        <v>O23011745032024025509004</v>
      </c>
      <c r="AF1036" s="167" t="str">
        <f>IFERROR(VLOOKUP(AD1036,TD!$J$70:$K$93,2,0)," ")</f>
        <v>PM/0131/0109/45030040255</v>
      </c>
      <c r="AG1036" s="130" t="s">
        <v>385</v>
      </c>
      <c r="AH1036" s="181" t="s">
        <v>193</v>
      </c>
      <c r="AI1036" s="184" t="str">
        <f>CONCATENATE(PAA[[#This Row],[Id Interno]],"-",PAA[[#This Row],[tipo de Contrato (TH talento humano - B/S bienes y/o servicios)]],"-",S1036,"-",T1036,"-",PAA[[#This Row],[Objeto de la contratación]])</f>
        <v>20261087-TH-8173-4--Prestar servicios de apoyo a la gestión para el seguimiento técnico y administrativo de las actividades de mantenimiento de los vehículos de la U.A.E. Cuerpo Oficial de Bomberos de Bogotá -  SBLG</v>
      </c>
    </row>
  </sheetData>
  <mergeCells count="8">
    <mergeCell ref="F7:M7"/>
    <mergeCell ref="B2:F2"/>
    <mergeCell ref="F3:M3"/>
    <mergeCell ref="F4:M4"/>
    <mergeCell ref="N5:P5"/>
    <mergeCell ref="N6:P6"/>
    <mergeCell ref="F5:M5"/>
    <mergeCell ref="F6:M6"/>
  </mergeCells>
  <phoneticPr fontId="15" type="noConversion"/>
  <conditionalFormatting sqref="B12:B658">
    <cfRule type="duplicateValues" dxfId="11" priority="356"/>
  </conditionalFormatting>
  <conditionalFormatting sqref="B1037:B1048576 B1:B1035">
    <cfRule type="duplicateValues" dxfId="10" priority="1"/>
    <cfRule type="duplicateValues" dxfId="9" priority="2"/>
  </conditionalFormatting>
  <conditionalFormatting sqref="B12:B1035">
    <cfRule type="duplicateValues" dxfId="8" priority="386"/>
  </conditionalFormatting>
  <hyperlinks>
    <hyperlink ref="O12" r:id="rId1" xr:uid="{67ED24B7-F4F9-4829-8333-FF5F4D482AA0}"/>
    <hyperlink ref="O172" r:id="rId2" xr:uid="{81B5539B-B166-4896-9A39-27DB4B634BBD}"/>
    <hyperlink ref="O609" r:id="rId3" display="Subdirector@ de Gestión del Riesgo" xr:uid="{2DE2B215-9BB6-4D50-9C69-466623B82D83}"/>
    <hyperlink ref="O610" r:id="rId4" display="Subdirector@ de Gestión del Riesgo" xr:uid="{028CA609-76AF-4559-BA98-EFE6E22D3935}"/>
    <hyperlink ref="O178" r:id="rId5" xr:uid="{FEE9E9E5-B939-4FE7-90D7-C043A3ECF549}"/>
    <hyperlink ref="O677" r:id="rId6" display="Subdirector@ de Gestión Corporativa" xr:uid="{6D3A8CE2-19A9-43FF-A82C-BF5591AEECDD}"/>
    <hyperlink ref="O688" r:id="rId7" xr:uid="{70CB5996-4E29-4E5A-A676-D9D44566E773}"/>
    <hyperlink ref="O689" r:id="rId8" xr:uid="{7CD4F2D8-0F7D-4E84-AB04-782FBB4D8B19}"/>
    <hyperlink ref="O690" r:id="rId9" xr:uid="{E554F2EC-DCE4-4C5A-8624-BAE0786ABE99}"/>
    <hyperlink ref="O691"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P12:P1035</xm:sqref>
        </x14:dataValidation>
        <x14:dataValidation type="list" allowBlank="1" showInputMessage="1" showErrorMessage="1" xr:uid="{AE9575A7-4CB7-4BD1-805F-4119048BA672}">
          <x14:formula1>
            <xm:f>TD!$B$15:$B$16</xm:f>
          </x14:formula1>
          <xm:sqref>E12:E1036</xm:sqref>
        </x14:dataValidation>
        <x14:dataValidation type="list" allowBlank="1" showInputMessage="1" showErrorMessage="1" xr:uid="{33649DEA-794C-4C6A-8EB5-BC1A8079C3C2}">
          <x14:formula1>
            <xm:f>TD!$O$2:$O$26</xm:f>
          </x14:formula1>
          <xm:sqref>L12:L1036</xm:sqref>
        </x14:dataValidation>
        <x14:dataValidation type="list" allowBlank="1" showInputMessage="1" showErrorMessage="1" xr:uid="{167B3C98-C85F-496C-B1F5-3644BB267750}">
          <x14:formula1>
            <xm:f>TD!$B$55:$B$58</xm:f>
          </x14:formula1>
          <xm:sqref>N12:N1036</xm:sqref>
        </x14:dataValidation>
        <x14:dataValidation type="list" allowBlank="1" showInputMessage="1" showErrorMessage="1" xr:uid="{C19D9E6E-AEC7-4142-B89D-D61322877AFC}">
          <x14:formula1>
            <xm:f>TD!$J$3:$J$24</xm:f>
          </x14:formula1>
          <xm:sqref>R12:R1036</xm:sqref>
        </x14:dataValidation>
        <x14:dataValidation type="list" allowBlank="1" showInputMessage="1" showErrorMessage="1" xr:uid="{2840086A-4D8A-4E66-AD6D-EE95601C2C7C}">
          <x14:formula1>
            <xm:f>TD!$D$61:$D$62</xm:f>
          </x14:formula1>
          <xm:sqref>K12:K1036</xm:sqref>
        </x14:dataValidation>
        <x14:dataValidation type="list" allowBlank="1" showInputMessage="1" showErrorMessage="1" xr:uid="{367956A3-3FF4-4469-AF49-C057EA7486FA}">
          <x14:formula1>
            <xm:f>TD!$D$2:$D$29</xm:f>
          </x14:formula1>
          <xm:sqref>F12:F1036</xm:sqref>
        </x14:dataValidation>
        <x14:dataValidation type="list" allowBlank="1" showInputMessage="1" showErrorMessage="1" xr:uid="{447F3D67-5446-44A6-9358-32563267660F}">
          <x14:formula1>
            <xm:f>TD!$B$19:$B$31</xm:f>
          </x14:formula1>
          <xm:sqref>G12:G1036</xm:sqref>
        </x14:dataValidation>
        <x14:dataValidation type="list" allowBlank="1" showInputMessage="1" showErrorMessage="1" xr:uid="{B4D90150-9848-474F-8126-9F973D312285}">
          <x14:formula1>
            <xm:f>TD!$J$55:$J$68</xm:f>
          </x14:formula1>
          <xm:sqref>X12:X1036</xm:sqref>
        </x14:dataValidation>
        <x14:dataValidation type="list" allowBlank="1" showInputMessage="1" showErrorMessage="1" xr:uid="{06E99C44-5C60-468B-8DDC-A942983538C2}">
          <x14:formula1>
            <xm:f>TD!$N$55:$N$67</xm:f>
          </x14:formula1>
          <xm:sqref>AA12:AA1036</xm:sqref>
        </x14:dataValidation>
        <x14:dataValidation type="list" allowBlank="1" showInputMessage="1" showErrorMessage="1" xr:uid="{745A9AE1-DD02-4B8A-AEC0-3B73FB6B7E5F}">
          <x14:formula1>
            <xm:f>TD!$X$55:$X$56</xm:f>
          </x14:formula1>
          <xm:sqref>AH12:AH1036</xm:sqref>
        </x14:dataValidation>
        <x14:dataValidation type="list" allowBlank="1" showInputMessage="1" showErrorMessage="1" xr:uid="{74AFF05A-906B-4B39-99D3-E0E68439EEF0}">
          <x14:formula1>
            <xm:f>TD!$B$2:$B$11</xm:f>
          </x14:formula1>
          <xm:sqref>D12:D1036</xm:sqref>
        </x14:dataValidation>
        <x14:dataValidation type="list" allowBlank="1" showInputMessage="1" showErrorMessage="1" xr:uid="{C4E42B1F-EAAC-4EFA-BB14-DBA14AE06391}">
          <x14:formula1>
            <xm:f>TD!$F$2:$F$47</xm:f>
          </x14:formula1>
          <xm:sqref>AG12:AG1036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33" t="s">
        <v>122</v>
      </c>
      <c r="C12" s="26" t="s">
        <v>302</v>
      </c>
      <c r="D12" s="30">
        <v>260870960</v>
      </c>
      <c r="E12" s="26" t="s">
        <v>300</v>
      </c>
      <c r="F12" s="26" t="s">
        <v>254</v>
      </c>
      <c r="G12" s="25" t="s">
        <v>129</v>
      </c>
    </row>
    <row r="13" spans="2:7" ht="33" x14ac:dyDescent="0.35">
      <c r="B13" s="237"/>
      <c r="C13" s="26" t="s">
        <v>303</v>
      </c>
      <c r="D13" s="30">
        <v>206558000</v>
      </c>
      <c r="E13" s="26" t="s">
        <v>300</v>
      </c>
      <c r="F13" s="26" t="s">
        <v>254</v>
      </c>
      <c r="G13" s="25" t="s">
        <v>129</v>
      </c>
    </row>
    <row r="14" spans="2:7" ht="33" x14ac:dyDescent="0.35">
      <c r="B14" s="237"/>
      <c r="C14" s="26" t="s">
        <v>304</v>
      </c>
      <c r="D14" s="30">
        <v>171068294</v>
      </c>
      <c r="E14" s="26" t="s">
        <v>300</v>
      </c>
      <c r="F14" s="26" t="s">
        <v>254</v>
      </c>
      <c r="G14" s="25" t="s">
        <v>129</v>
      </c>
    </row>
    <row r="15" spans="2:7" ht="33" x14ac:dyDescent="0.35">
      <c r="B15" s="237"/>
      <c r="C15" s="26" t="s">
        <v>305</v>
      </c>
      <c r="D15" s="30">
        <v>229431788</v>
      </c>
      <c r="E15" s="26" t="s">
        <v>300</v>
      </c>
      <c r="F15" s="26" t="s">
        <v>254</v>
      </c>
      <c r="G15" s="25" t="s">
        <v>129</v>
      </c>
    </row>
    <row r="16" spans="2:7" ht="33" x14ac:dyDescent="0.35">
      <c r="B16" s="234"/>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38" t="s">
        <v>87</v>
      </c>
      <c r="C23" s="241" t="s">
        <v>308</v>
      </c>
      <c r="D23" s="48">
        <v>162500000</v>
      </c>
      <c r="E23" s="50" t="s">
        <v>309</v>
      </c>
      <c r="F23" s="50" t="s">
        <v>247</v>
      </c>
      <c r="G23" s="49" t="s">
        <v>129</v>
      </c>
    </row>
    <row r="24" spans="2:11" ht="33" x14ac:dyDescent="0.35">
      <c r="B24" s="239"/>
      <c r="C24" s="242"/>
      <c r="D24" s="48">
        <v>698601047</v>
      </c>
      <c r="E24" s="50" t="s">
        <v>310</v>
      </c>
      <c r="F24" s="50" t="s">
        <v>248</v>
      </c>
      <c r="G24" s="49" t="s">
        <v>311</v>
      </c>
    </row>
    <row r="25" spans="2:11" ht="33" x14ac:dyDescent="0.35">
      <c r="B25" s="240"/>
      <c r="C25" s="243"/>
      <c r="D25" s="48">
        <v>387093222</v>
      </c>
      <c r="E25" s="50" t="s">
        <v>312</v>
      </c>
      <c r="F25" s="50" t="s">
        <v>250</v>
      </c>
      <c r="G25" s="49" t="s">
        <v>129</v>
      </c>
    </row>
    <row r="26" spans="2:11" ht="33" x14ac:dyDescent="0.35">
      <c r="B26" s="233" t="s">
        <v>91</v>
      </c>
      <c r="C26" s="235" t="s">
        <v>313</v>
      </c>
      <c r="D26" s="30">
        <v>1275620000</v>
      </c>
      <c r="E26" s="26" t="s">
        <v>314</v>
      </c>
      <c r="F26" s="26" t="s">
        <v>246</v>
      </c>
      <c r="G26" s="25" t="s">
        <v>129</v>
      </c>
    </row>
    <row r="27" spans="2:11" ht="49.5" x14ac:dyDescent="0.35">
      <c r="B27" s="234"/>
      <c r="C27" s="236"/>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33" t="s">
        <v>99</v>
      </c>
      <c r="C29" s="235" t="s">
        <v>318</v>
      </c>
      <c r="D29" s="30">
        <v>4450000000</v>
      </c>
      <c r="E29" s="26" t="s">
        <v>317</v>
      </c>
      <c r="F29" s="26" t="s">
        <v>255</v>
      </c>
      <c r="G29" s="25" t="s">
        <v>342</v>
      </c>
    </row>
    <row r="30" spans="2:11" ht="33" x14ac:dyDescent="0.35">
      <c r="B30" s="234"/>
      <c r="C30" s="236"/>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93"/>
  <sheetViews>
    <sheetView topLeftCell="F1" zoomScale="55" zoomScaleNormal="55" workbookViewId="0">
      <selection activeCell="F47" sqref="F1:F47"/>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534</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549</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915</v>
      </c>
    </row>
    <row r="15" spans="2:19" x14ac:dyDescent="0.3">
      <c r="B15" s="15" t="s">
        <v>363</v>
      </c>
      <c r="D15" s="15" t="s">
        <v>131</v>
      </c>
      <c r="F15" s="15" t="s">
        <v>102</v>
      </c>
      <c r="H15" s="15" t="s">
        <v>96</v>
      </c>
      <c r="I15" s="16">
        <v>8173</v>
      </c>
      <c r="J15" s="17" t="s">
        <v>212</v>
      </c>
      <c r="O15" s="15" t="s">
        <v>1144</v>
      </c>
    </row>
    <row r="16" spans="2:19" x14ac:dyDescent="0.3">
      <c r="B16" s="15" t="s">
        <v>402</v>
      </c>
      <c r="D16" s="15" t="s">
        <v>133</v>
      </c>
      <c r="F16" s="15" t="s">
        <v>533</v>
      </c>
      <c r="H16" s="15" t="s">
        <v>99</v>
      </c>
      <c r="I16" s="16">
        <v>8173</v>
      </c>
      <c r="J16" s="17" t="s">
        <v>213</v>
      </c>
      <c r="O16" s="15" t="s">
        <v>1145</v>
      </c>
    </row>
    <row r="17" spans="2:15" x14ac:dyDescent="0.3">
      <c r="D17" s="15" t="s">
        <v>135</v>
      </c>
      <c r="F17" s="15" t="s">
        <v>107</v>
      </c>
      <c r="H17" s="15" t="s">
        <v>104</v>
      </c>
      <c r="I17" s="16">
        <v>8173</v>
      </c>
      <c r="J17" s="17" t="s">
        <v>214</v>
      </c>
      <c r="O17" s="15" t="s">
        <v>1146</v>
      </c>
    </row>
    <row r="18" spans="2:15" x14ac:dyDescent="0.3">
      <c r="B18" s="91" t="s">
        <v>365</v>
      </c>
      <c r="D18" s="15" t="s">
        <v>136</v>
      </c>
      <c r="F18" s="15" t="s">
        <v>116</v>
      </c>
      <c r="H18" s="15" t="s">
        <v>109</v>
      </c>
      <c r="I18" s="16">
        <v>8173</v>
      </c>
      <c r="J18" s="17" t="s">
        <v>215</v>
      </c>
      <c r="O18" s="15" t="s">
        <v>1147</v>
      </c>
    </row>
    <row r="19" spans="2:15" x14ac:dyDescent="0.3">
      <c r="B19" s="118" t="s">
        <v>373</v>
      </c>
      <c r="D19" s="15" t="s">
        <v>137</v>
      </c>
      <c r="F19" s="15" t="s">
        <v>121</v>
      </c>
      <c r="H19" s="15" t="s">
        <v>113</v>
      </c>
      <c r="I19" s="16">
        <v>8173</v>
      </c>
      <c r="J19" s="17" t="s">
        <v>216</v>
      </c>
      <c r="O19" s="15" t="s">
        <v>1148</v>
      </c>
    </row>
    <row r="20" spans="2:15" x14ac:dyDescent="0.3">
      <c r="B20" s="15" t="s">
        <v>374</v>
      </c>
      <c r="D20" s="15" t="s">
        <v>138</v>
      </c>
      <c r="F20" s="15" t="s">
        <v>386</v>
      </c>
      <c r="H20" s="15" t="s">
        <v>118</v>
      </c>
      <c r="I20" s="16">
        <v>8173</v>
      </c>
      <c r="J20" s="17" t="s">
        <v>217</v>
      </c>
      <c r="O20" s="15" t="s">
        <v>1149</v>
      </c>
    </row>
    <row r="21" spans="2:15" x14ac:dyDescent="0.3">
      <c r="B21" s="15" t="s">
        <v>375</v>
      </c>
      <c r="D21" s="15" t="s">
        <v>139</v>
      </c>
      <c r="F21" s="15" t="s">
        <v>125</v>
      </c>
      <c r="H21" s="15" t="s">
        <v>123</v>
      </c>
      <c r="I21" s="16">
        <v>8173</v>
      </c>
      <c r="J21" s="17" t="s">
        <v>218</v>
      </c>
      <c r="O21" s="15" t="s">
        <v>1150</v>
      </c>
    </row>
    <row r="22" spans="2:15" x14ac:dyDescent="0.3">
      <c r="B22" s="15" t="s">
        <v>376</v>
      </c>
      <c r="D22" s="15" t="s">
        <v>140</v>
      </c>
      <c r="F22" s="15" t="s">
        <v>132</v>
      </c>
      <c r="H22" s="15" t="s">
        <v>127</v>
      </c>
      <c r="I22" s="16">
        <v>8173</v>
      </c>
      <c r="J22" s="17" t="s">
        <v>219</v>
      </c>
      <c r="O22" s="15" t="s">
        <v>1151</v>
      </c>
    </row>
    <row r="23" spans="2:15" x14ac:dyDescent="0.3">
      <c r="B23" s="15" t="s">
        <v>377</v>
      </c>
      <c r="D23" s="15" t="s">
        <v>141</v>
      </c>
      <c r="F23" s="15" t="s">
        <v>134</v>
      </c>
      <c r="I23" s="16">
        <v>8173</v>
      </c>
      <c r="J23" s="17" t="s">
        <v>351</v>
      </c>
      <c r="O23" s="15" t="s">
        <v>1152</v>
      </c>
    </row>
    <row r="24" spans="2:15" x14ac:dyDescent="0.3">
      <c r="B24" s="15" t="s">
        <v>378</v>
      </c>
      <c r="D24" s="15" t="s">
        <v>142</v>
      </c>
      <c r="F24" s="15" t="s">
        <v>387</v>
      </c>
      <c r="J24" s="15" t="s">
        <v>331</v>
      </c>
      <c r="O24" s="15" t="s">
        <v>1153</v>
      </c>
    </row>
    <row r="25" spans="2:15" x14ac:dyDescent="0.3">
      <c r="B25" s="15" t="s">
        <v>379</v>
      </c>
      <c r="D25" s="15" t="s">
        <v>143</v>
      </c>
      <c r="F25" s="15" t="s">
        <v>532</v>
      </c>
      <c r="O25" s="15" t="s">
        <v>1154</v>
      </c>
    </row>
    <row r="26" spans="2:15" x14ac:dyDescent="0.3">
      <c r="B26" s="15" t="s">
        <v>380</v>
      </c>
      <c r="D26" s="15" t="s">
        <v>144</v>
      </c>
      <c r="F26" s="15" t="s">
        <v>385</v>
      </c>
      <c r="O26" s="15" t="s">
        <v>1155</v>
      </c>
    </row>
    <row r="27" spans="2:15" x14ac:dyDescent="0.3">
      <c r="B27" s="15" t="s">
        <v>381</v>
      </c>
      <c r="D27" s="15" t="s">
        <v>145</v>
      </c>
      <c r="F27" s="15" t="s">
        <v>539</v>
      </c>
      <c r="H27" s="15" t="s">
        <v>336</v>
      </c>
    </row>
    <row r="28" spans="2:15" x14ac:dyDescent="0.3">
      <c r="B28" s="15" t="s">
        <v>382</v>
      </c>
      <c r="D28" s="15" t="s">
        <v>146</v>
      </c>
      <c r="F28" s="15" t="s">
        <v>542</v>
      </c>
    </row>
    <row r="29" spans="2:15" x14ac:dyDescent="0.3">
      <c r="B29" s="15" t="s">
        <v>383</v>
      </c>
      <c r="D29" s="15" t="s">
        <v>147</v>
      </c>
      <c r="F29" s="15" t="s">
        <v>543</v>
      </c>
    </row>
    <row r="30" spans="2:15" x14ac:dyDescent="0.3">
      <c r="B30" s="15" t="s">
        <v>384</v>
      </c>
      <c r="F30" s="15" t="s">
        <v>544</v>
      </c>
    </row>
    <row r="31" spans="2:15" x14ac:dyDescent="0.3">
      <c r="B31" s="15" t="s">
        <v>924</v>
      </c>
      <c r="F31" s="15" t="s">
        <v>545</v>
      </c>
    </row>
    <row r="32" spans="2:15" x14ac:dyDescent="0.3">
      <c r="F32" s="15" t="s">
        <v>547</v>
      </c>
    </row>
    <row r="33" spans="6:6" x14ac:dyDescent="0.3">
      <c r="F33" s="15" t="s">
        <v>548</v>
      </c>
    </row>
    <row r="34" spans="6:6" x14ac:dyDescent="0.3">
      <c r="F34" s="15" t="s">
        <v>332</v>
      </c>
    </row>
    <row r="35" spans="6:6" x14ac:dyDescent="0.3">
      <c r="F35" s="15" t="s">
        <v>862</v>
      </c>
    </row>
    <row r="36" spans="6:6" x14ac:dyDescent="0.3">
      <c r="F36" s="15" t="s">
        <v>863</v>
      </c>
    </row>
    <row r="37" spans="6:6" x14ac:dyDescent="0.3">
      <c r="F37" s="15" t="s">
        <v>864</v>
      </c>
    </row>
    <row r="38" spans="6:6" x14ac:dyDescent="0.3">
      <c r="F38" s="15" t="s">
        <v>865</v>
      </c>
    </row>
    <row r="39" spans="6:6" x14ac:dyDescent="0.3">
      <c r="F39" s="15" t="s">
        <v>866</v>
      </c>
    </row>
    <row r="40" spans="6:6" x14ac:dyDescent="0.3">
      <c r="F40" s="15" t="s">
        <v>867</v>
      </c>
    </row>
    <row r="41" spans="6:6" x14ac:dyDescent="0.3">
      <c r="F41" s="15" t="s">
        <v>868</v>
      </c>
    </row>
    <row r="42" spans="6:6" x14ac:dyDescent="0.3">
      <c r="F42" s="15" t="s">
        <v>869</v>
      </c>
    </row>
    <row r="43" spans="6:6" x14ac:dyDescent="0.3">
      <c r="F43" s="15" t="s">
        <v>870</v>
      </c>
    </row>
    <row r="44" spans="6:6" x14ac:dyDescent="0.3">
      <c r="F44" s="15" t="s">
        <v>1136</v>
      </c>
    </row>
    <row r="45" spans="6:6" x14ac:dyDescent="0.3">
      <c r="F45" s="15" t="s">
        <v>1137</v>
      </c>
    </row>
    <row r="46" spans="6:6" x14ac:dyDescent="0.3">
      <c r="F46" s="15" t="s">
        <v>1230</v>
      </c>
    </row>
    <row r="47" spans="6:6" x14ac:dyDescent="0.3">
      <c r="F47" s="15" t="s">
        <v>1231</v>
      </c>
    </row>
    <row r="54" spans="2:26" ht="45" x14ac:dyDescent="0.3">
      <c r="B54" s="92" t="s">
        <v>199</v>
      </c>
      <c r="C54" s="92" t="s">
        <v>184</v>
      </c>
      <c r="D54" s="92" t="s">
        <v>185</v>
      </c>
      <c r="E54" s="92" t="s">
        <v>163</v>
      </c>
      <c r="F54" s="92" t="s">
        <v>192</v>
      </c>
      <c r="J54" s="92" t="s">
        <v>72</v>
      </c>
      <c r="K54" s="92" t="s">
        <v>73</v>
      </c>
      <c r="N54" s="92" t="s">
        <v>74</v>
      </c>
      <c r="O54" s="92" t="s">
        <v>245</v>
      </c>
      <c r="P54" s="93"/>
      <c r="R54" s="92" t="s">
        <v>184</v>
      </c>
      <c r="T54" s="92" t="s">
        <v>185</v>
      </c>
      <c r="V54" s="92" t="s">
        <v>186</v>
      </c>
      <c r="X54" s="94" t="s">
        <v>71</v>
      </c>
      <c r="Z54" s="94" t="s">
        <v>232</v>
      </c>
    </row>
    <row r="55" spans="2:26" x14ac:dyDescent="0.3">
      <c r="B55" s="15" t="s">
        <v>198</v>
      </c>
      <c r="C55" s="16" t="s">
        <v>187</v>
      </c>
      <c r="D55" s="16" t="s">
        <v>188</v>
      </c>
      <c r="E55" s="16">
        <v>20240255</v>
      </c>
      <c r="F55" s="15" t="s">
        <v>149</v>
      </c>
      <c r="J55" s="89" t="s">
        <v>164</v>
      </c>
      <c r="K55" s="15" t="s">
        <v>165</v>
      </c>
      <c r="N55" s="15" t="s">
        <v>222</v>
      </c>
      <c r="O55" s="15" t="s">
        <v>235</v>
      </c>
      <c r="R55" s="15" t="s">
        <v>187</v>
      </c>
      <c r="T55" s="15" t="s">
        <v>188</v>
      </c>
      <c r="V55" s="15" t="s">
        <v>190</v>
      </c>
      <c r="X55" s="15" t="s">
        <v>193</v>
      </c>
      <c r="Z55" s="15" t="s">
        <v>222</v>
      </c>
    </row>
    <row r="56" spans="2:26" x14ac:dyDescent="0.3">
      <c r="B56" s="15" t="s">
        <v>197</v>
      </c>
      <c r="C56" s="16" t="s">
        <v>187</v>
      </c>
      <c r="D56" s="16" t="s">
        <v>189</v>
      </c>
      <c r="E56" s="16">
        <v>20240207</v>
      </c>
      <c r="F56" s="15" t="s">
        <v>148</v>
      </c>
      <c r="J56" s="89" t="s">
        <v>166</v>
      </c>
      <c r="K56" s="15" t="s">
        <v>167</v>
      </c>
      <c r="N56" s="15" t="s">
        <v>221</v>
      </c>
      <c r="O56" s="15" t="s">
        <v>234</v>
      </c>
      <c r="T56" s="15" t="s">
        <v>189</v>
      </c>
      <c r="V56" s="15" t="s">
        <v>191</v>
      </c>
      <c r="X56" s="15" t="s">
        <v>194</v>
      </c>
      <c r="Z56" s="15" t="s">
        <v>221</v>
      </c>
    </row>
    <row r="57" spans="2:26" x14ac:dyDescent="0.3">
      <c r="B57" s="15" t="s">
        <v>330</v>
      </c>
      <c r="C57" s="16" t="s">
        <v>333</v>
      </c>
      <c r="D57" s="16" t="s">
        <v>333</v>
      </c>
      <c r="E57" s="16" t="s">
        <v>333</v>
      </c>
      <c r="F57" s="16" t="s">
        <v>333</v>
      </c>
      <c r="J57" s="89" t="s">
        <v>170</v>
      </c>
      <c r="K57" s="15" t="s">
        <v>171</v>
      </c>
      <c r="N57" s="15" t="s">
        <v>228</v>
      </c>
      <c r="O57" s="15" t="s">
        <v>240</v>
      </c>
      <c r="Z57" s="15" t="s">
        <v>228</v>
      </c>
    </row>
    <row r="58" spans="2:26" x14ac:dyDescent="0.3">
      <c r="B58" s="17" t="s">
        <v>331</v>
      </c>
      <c r="C58" s="16" t="s">
        <v>333</v>
      </c>
      <c r="D58" s="16" t="s">
        <v>333</v>
      </c>
      <c r="E58" s="16" t="s">
        <v>333</v>
      </c>
      <c r="F58" s="16" t="s">
        <v>333</v>
      </c>
      <c r="J58" s="89" t="s">
        <v>172</v>
      </c>
      <c r="K58" s="15" t="s">
        <v>173</v>
      </c>
      <c r="N58" s="15" t="s">
        <v>225</v>
      </c>
      <c r="O58" s="15" t="s">
        <v>237</v>
      </c>
      <c r="Z58" s="15" t="s">
        <v>225</v>
      </c>
    </row>
    <row r="59" spans="2:26" x14ac:dyDescent="0.3">
      <c r="J59" s="89" t="s">
        <v>174</v>
      </c>
      <c r="K59" s="15" t="s">
        <v>175</v>
      </c>
      <c r="N59" s="15" t="s">
        <v>226</v>
      </c>
      <c r="O59" s="15" t="s">
        <v>238</v>
      </c>
      <c r="Z59" s="15" t="s">
        <v>226</v>
      </c>
    </row>
    <row r="60" spans="2:26" x14ac:dyDescent="0.3">
      <c r="D60" s="15" t="s">
        <v>396</v>
      </c>
      <c r="J60" s="89" t="s">
        <v>176</v>
      </c>
      <c r="K60" s="15" t="s">
        <v>177</v>
      </c>
      <c r="N60" s="15" t="s">
        <v>227</v>
      </c>
      <c r="O60" s="15" t="s">
        <v>239</v>
      </c>
      <c r="Z60" s="15" t="s">
        <v>227</v>
      </c>
    </row>
    <row r="61" spans="2:26" x14ac:dyDescent="0.3">
      <c r="D61" s="15" t="s">
        <v>397</v>
      </c>
      <c r="J61" s="89" t="s">
        <v>178</v>
      </c>
      <c r="K61" s="15" t="s">
        <v>179</v>
      </c>
      <c r="N61" s="15" t="s">
        <v>224</v>
      </c>
      <c r="O61" s="15" t="s">
        <v>390</v>
      </c>
      <c r="Z61" s="15" t="s">
        <v>224</v>
      </c>
    </row>
    <row r="62" spans="2:26" x14ac:dyDescent="0.3">
      <c r="D62" s="15" t="s">
        <v>398</v>
      </c>
      <c r="J62" s="89" t="s">
        <v>168</v>
      </c>
      <c r="K62" s="15" t="s">
        <v>169</v>
      </c>
      <c r="N62" s="15" t="s">
        <v>231</v>
      </c>
      <c r="O62" s="15" t="s">
        <v>243</v>
      </c>
      <c r="Z62" s="15" t="s">
        <v>231</v>
      </c>
    </row>
    <row r="63" spans="2:26" x14ac:dyDescent="0.3">
      <c r="J63" s="89" t="s">
        <v>180</v>
      </c>
      <c r="K63" s="15" t="s">
        <v>181</v>
      </c>
      <c r="N63" s="15" t="s">
        <v>230</v>
      </c>
      <c r="O63" s="15" t="s">
        <v>242</v>
      </c>
      <c r="Z63" s="15" t="s">
        <v>230</v>
      </c>
    </row>
    <row r="64" spans="2:26" x14ac:dyDescent="0.3">
      <c r="J64" s="89" t="s">
        <v>182</v>
      </c>
      <c r="K64" s="15" t="s">
        <v>183</v>
      </c>
      <c r="N64" s="15" t="s">
        <v>229</v>
      </c>
      <c r="O64" s="15" t="s">
        <v>241</v>
      </c>
      <c r="Z64" s="15" t="s">
        <v>229</v>
      </c>
    </row>
    <row r="65" spans="10:26" x14ac:dyDescent="0.3">
      <c r="J65" s="89">
        <v>14</v>
      </c>
      <c r="K65" s="15" t="s">
        <v>388</v>
      </c>
      <c r="N65" s="15" t="s">
        <v>282</v>
      </c>
      <c r="O65" s="15" t="s">
        <v>244</v>
      </c>
      <c r="Z65" s="15" t="s">
        <v>223</v>
      </c>
    </row>
    <row r="66" spans="10:26" x14ac:dyDescent="0.3">
      <c r="J66" s="89">
        <v>15</v>
      </c>
      <c r="K66" s="15" t="s">
        <v>389</v>
      </c>
      <c r="N66" s="15" t="s">
        <v>223</v>
      </c>
      <c r="O66" s="15" t="s">
        <v>236</v>
      </c>
    </row>
    <row r="67" spans="10:26" x14ac:dyDescent="0.3">
      <c r="J67" s="89">
        <v>16</v>
      </c>
      <c r="K67" s="15" t="s">
        <v>390</v>
      </c>
      <c r="N67" s="15" t="s">
        <v>335</v>
      </c>
      <c r="O67" s="15" t="s">
        <v>335</v>
      </c>
    </row>
    <row r="68" spans="10:26" x14ac:dyDescent="0.3">
      <c r="J68" s="15" t="s">
        <v>335</v>
      </c>
      <c r="K68" s="15" t="s">
        <v>335</v>
      </c>
    </row>
    <row r="70" spans="10:26" x14ac:dyDescent="0.3">
      <c r="J70" s="18" t="s">
        <v>264</v>
      </c>
      <c r="K70" s="18" t="s">
        <v>281</v>
      </c>
    </row>
    <row r="71" spans="10:26" x14ac:dyDescent="0.3">
      <c r="J71" s="15" t="s">
        <v>265</v>
      </c>
      <c r="K71" s="15" t="s">
        <v>246</v>
      </c>
    </row>
    <row r="72" spans="10:26" x14ac:dyDescent="0.3">
      <c r="J72" s="15" t="s">
        <v>266</v>
      </c>
      <c r="K72" s="15" t="s">
        <v>247</v>
      </c>
    </row>
    <row r="73" spans="10:26" x14ac:dyDescent="0.3">
      <c r="J73" s="15" t="s">
        <v>267</v>
      </c>
      <c r="K73" s="15" t="s">
        <v>248</v>
      </c>
    </row>
    <row r="74" spans="10:26" x14ac:dyDescent="0.3">
      <c r="J74" s="15" t="s">
        <v>269</v>
      </c>
      <c r="K74" s="15" t="s">
        <v>250</v>
      </c>
    </row>
    <row r="75" spans="10:26" x14ac:dyDescent="0.3">
      <c r="J75" s="15" t="s">
        <v>270</v>
      </c>
      <c r="K75" s="15" t="s">
        <v>251</v>
      </c>
    </row>
    <row r="76" spans="10:26" x14ac:dyDescent="0.3">
      <c r="J76" s="15" t="s">
        <v>271</v>
      </c>
      <c r="K76" s="15" t="s">
        <v>252</v>
      </c>
    </row>
    <row r="77" spans="10:26" x14ac:dyDescent="0.3">
      <c r="J77" s="15" t="s">
        <v>272</v>
      </c>
      <c r="K77" s="15" t="s">
        <v>253</v>
      </c>
    </row>
    <row r="78" spans="10:26" x14ac:dyDescent="0.3">
      <c r="J78" s="15" t="s">
        <v>273</v>
      </c>
      <c r="K78" s="15" t="s">
        <v>254</v>
      </c>
    </row>
    <row r="79" spans="10:26" x14ac:dyDescent="0.3">
      <c r="J79" s="15" t="s">
        <v>283</v>
      </c>
      <c r="K79" s="15" t="s">
        <v>262</v>
      </c>
    </row>
    <row r="80" spans="10:26" x14ac:dyDescent="0.3">
      <c r="J80" s="15" t="s">
        <v>274</v>
      </c>
      <c r="K80" s="15" t="s">
        <v>255</v>
      </c>
    </row>
    <row r="81" spans="10:11" x14ac:dyDescent="0.3">
      <c r="J81" s="15" t="s">
        <v>275</v>
      </c>
      <c r="K81" s="15" t="s">
        <v>256</v>
      </c>
    </row>
    <row r="82" spans="10:11" x14ac:dyDescent="0.3">
      <c r="J82" s="15" t="s">
        <v>276</v>
      </c>
      <c r="K82" s="15" t="s">
        <v>257</v>
      </c>
    </row>
    <row r="83" spans="10:11" x14ac:dyDescent="0.3">
      <c r="J83" s="15" t="s">
        <v>268</v>
      </c>
      <c r="K83" s="15" t="s">
        <v>249</v>
      </c>
    </row>
    <row r="84" spans="10:11" x14ac:dyDescent="0.3">
      <c r="J84" s="15" t="s">
        <v>277</v>
      </c>
      <c r="K84" s="15" t="s">
        <v>258</v>
      </c>
    </row>
    <row r="85" spans="10:11" x14ac:dyDescent="0.3">
      <c r="J85" s="15" t="s">
        <v>280</v>
      </c>
      <c r="K85" s="15" t="s">
        <v>261</v>
      </c>
    </row>
    <row r="86" spans="10:11" x14ac:dyDescent="0.3">
      <c r="J86" s="15" t="s">
        <v>279</v>
      </c>
      <c r="K86" s="15" t="s">
        <v>260</v>
      </c>
    </row>
    <row r="87" spans="10:11" x14ac:dyDescent="0.3">
      <c r="J87" s="15" t="s">
        <v>278</v>
      </c>
      <c r="K87" s="15" t="s">
        <v>259</v>
      </c>
    </row>
    <row r="88" spans="10:11" x14ac:dyDescent="0.3">
      <c r="J88" s="15" t="s">
        <v>391</v>
      </c>
      <c r="K88" s="15" t="s">
        <v>392</v>
      </c>
    </row>
    <row r="89" spans="10:11" x14ac:dyDescent="0.3">
      <c r="J89" s="15" t="s">
        <v>541</v>
      </c>
      <c r="K89" s="15" t="s">
        <v>540</v>
      </c>
    </row>
    <row r="90" spans="10:11" x14ac:dyDescent="0.3">
      <c r="J90" s="15" t="s">
        <v>393</v>
      </c>
      <c r="K90" s="15" t="s">
        <v>394</v>
      </c>
    </row>
    <row r="91" spans="10:11" x14ac:dyDescent="0.3">
      <c r="J91" s="15" t="s">
        <v>535</v>
      </c>
      <c r="K91" s="15" t="s">
        <v>395</v>
      </c>
    </row>
    <row r="92" spans="10:11" x14ac:dyDescent="0.3">
      <c r="J92" s="15" t="s">
        <v>331</v>
      </c>
      <c r="K92" s="15" t="s">
        <v>331</v>
      </c>
    </row>
    <row r="93" spans="10:11" x14ac:dyDescent="0.3">
      <c r="J93" s="15" t="s">
        <v>336</v>
      </c>
      <c r="K93"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47" t="s">
        <v>60</v>
      </c>
      <c r="F3" s="247"/>
      <c r="G3" s="247"/>
      <c r="H3" s="247"/>
      <c r="I3" s="247"/>
      <c r="J3" s="247"/>
    </row>
    <row r="5" spans="2:10" x14ac:dyDescent="0.35">
      <c r="B5" s="9" t="s">
        <v>49</v>
      </c>
      <c r="C5" s="7" t="s">
        <v>50</v>
      </c>
      <c r="E5" s="9" t="s">
        <v>0</v>
      </c>
      <c r="F5" s="9" t="s">
        <v>52</v>
      </c>
      <c r="G5" s="11">
        <v>7637</v>
      </c>
      <c r="H5" s="11">
        <v>7655</v>
      </c>
      <c r="I5" s="11">
        <v>7658</v>
      </c>
      <c r="J5" s="9" t="s">
        <v>54</v>
      </c>
    </row>
    <row r="6" spans="2:10" x14ac:dyDescent="0.35">
      <c r="B6" s="1">
        <v>7658</v>
      </c>
      <c r="C6" s="4">
        <v>32529175840</v>
      </c>
      <c r="E6" s="248" t="s">
        <v>45</v>
      </c>
      <c r="F6" s="248"/>
      <c r="G6" s="4"/>
      <c r="H6" s="4">
        <v>596500000</v>
      </c>
      <c r="I6" s="4"/>
      <c r="J6" s="4">
        <v>596500000</v>
      </c>
    </row>
    <row r="7" spans="2:10" x14ac:dyDescent="0.35">
      <c r="B7" s="1">
        <v>7655</v>
      </c>
      <c r="C7" s="4">
        <v>6691034160</v>
      </c>
      <c r="E7" s="248" t="s">
        <v>44</v>
      </c>
      <c r="F7" s="248"/>
      <c r="G7" s="4"/>
      <c r="H7" s="4">
        <v>403500000</v>
      </c>
      <c r="I7" s="4"/>
      <c r="J7" s="4">
        <v>403500000</v>
      </c>
    </row>
    <row r="8" spans="2:10" x14ac:dyDescent="0.35">
      <c r="B8" s="1">
        <v>7637</v>
      </c>
      <c r="C8" s="4">
        <v>3299800000</v>
      </c>
      <c r="E8" s="248" t="s">
        <v>36</v>
      </c>
      <c r="F8" s="248"/>
      <c r="G8" s="4">
        <v>3299800000</v>
      </c>
      <c r="H8" s="4">
        <v>900200000</v>
      </c>
      <c r="I8" s="4"/>
      <c r="J8" s="4">
        <v>4200000000</v>
      </c>
    </row>
    <row r="9" spans="2:10" x14ac:dyDescent="0.35">
      <c r="B9" s="9" t="s">
        <v>51</v>
      </c>
      <c r="C9" s="8">
        <v>42520010000</v>
      </c>
      <c r="E9" s="248" t="s">
        <v>46</v>
      </c>
      <c r="F9" s="248"/>
      <c r="G9" s="4"/>
      <c r="H9" s="4">
        <v>432858000</v>
      </c>
      <c r="I9" s="4"/>
      <c r="J9" s="4">
        <v>432858000</v>
      </c>
    </row>
    <row r="10" spans="2:10" x14ac:dyDescent="0.35">
      <c r="E10" s="248" t="s">
        <v>32</v>
      </c>
      <c r="F10" s="248"/>
      <c r="G10" s="4"/>
      <c r="H10" s="4">
        <v>323006000</v>
      </c>
      <c r="I10" s="4"/>
      <c r="J10" s="4">
        <v>323006000</v>
      </c>
    </row>
    <row r="11" spans="2:10" x14ac:dyDescent="0.35">
      <c r="E11" s="248" t="s">
        <v>28</v>
      </c>
      <c r="F11" s="248"/>
      <c r="G11" s="4"/>
      <c r="H11" s="4">
        <v>1200000000</v>
      </c>
      <c r="I11" s="4"/>
      <c r="J11" s="4">
        <v>1200000000</v>
      </c>
    </row>
    <row r="12" spans="2:10" x14ac:dyDescent="0.35">
      <c r="E12" s="248" t="s">
        <v>3</v>
      </c>
      <c r="F12" s="248"/>
      <c r="G12" s="4"/>
      <c r="H12" s="4">
        <v>2214252160</v>
      </c>
      <c r="I12" s="4">
        <v>7786929840</v>
      </c>
      <c r="J12" s="4">
        <v>10001182000</v>
      </c>
    </row>
    <row r="13" spans="2:10" x14ac:dyDescent="0.35">
      <c r="E13" s="248" t="s">
        <v>29</v>
      </c>
      <c r="F13" s="248"/>
      <c r="G13" s="4"/>
      <c r="H13" s="4">
        <v>170000000</v>
      </c>
      <c r="I13" s="4">
        <v>3730000000</v>
      </c>
      <c r="J13" s="4">
        <v>3900000000</v>
      </c>
    </row>
    <row r="14" spans="2:10" x14ac:dyDescent="0.35">
      <c r="E14" s="248" t="s">
        <v>33</v>
      </c>
      <c r="F14" s="248"/>
      <c r="G14" s="4"/>
      <c r="H14" s="4">
        <v>450718000</v>
      </c>
      <c r="I14" s="4">
        <v>1449282000</v>
      </c>
      <c r="J14" s="4">
        <v>1900000000</v>
      </c>
    </row>
    <row r="15" spans="2:10" x14ac:dyDescent="0.35">
      <c r="E15" s="248" t="s">
        <v>19</v>
      </c>
      <c r="F15" s="248"/>
      <c r="G15" s="4"/>
      <c r="H15" s="4"/>
      <c r="I15" s="4">
        <v>10011982000</v>
      </c>
      <c r="J15" s="4">
        <v>10011982000</v>
      </c>
    </row>
    <row r="16" spans="2:10" x14ac:dyDescent="0.35">
      <c r="E16" s="248" t="s">
        <v>47</v>
      </c>
      <c r="F16" s="248"/>
      <c r="G16" s="4"/>
      <c r="H16" s="4"/>
      <c r="I16" s="4">
        <v>9550982000</v>
      </c>
      <c r="J16" s="4">
        <v>9550982000</v>
      </c>
    </row>
    <row r="17" spans="3:10" x14ac:dyDescent="0.35">
      <c r="E17" s="249" t="s">
        <v>53</v>
      </c>
      <c r="F17" s="251"/>
      <c r="G17" s="8">
        <v>3299800000</v>
      </c>
      <c r="H17" s="8">
        <v>6691034160</v>
      </c>
      <c r="I17" s="8">
        <v>32529175840</v>
      </c>
      <c r="J17" s="8">
        <v>42520010000</v>
      </c>
    </row>
    <row r="20" spans="3:10" x14ac:dyDescent="0.35">
      <c r="C20" s="252" t="s">
        <v>62</v>
      </c>
      <c r="D20" s="252"/>
      <c r="E20" s="252"/>
      <c r="F20" s="252"/>
      <c r="G20" s="252"/>
    </row>
    <row r="22" spans="3:10" x14ac:dyDescent="0.35">
      <c r="C22" s="12" t="s">
        <v>63</v>
      </c>
    </row>
    <row r="23" spans="3:10" x14ac:dyDescent="0.35">
      <c r="C23" s="9" t="s">
        <v>55</v>
      </c>
      <c r="D23" s="13" t="s">
        <v>56</v>
      </c>
      <c r="E23" s="244" t="s">
        <v>0</v>
      </c>
      <c r="F23" s="244"/>
      <c r="G23" s="9" t="s">
        <v>57</v>
      </c>
    </row>
    <row r="24" spans="3:10" x14ac:dyDescent="0.35">
      <c r="C24" s="3" t="s">
        <v>35</v>
      </c>
      <c r="D24" s="6" t="s">
        <v>34</v>
      </c>
      <c r="E24" s="248" t="s">
        <v>33</v>
      </c>
      <c r="F24" s="248"/>
      <c r="G24" s="4">
        <v>1449282000</v>
      </c>
    </row>
    <row r="25" spans="3:10" x14ac:dyDescent="0.35">
      <c r="C25" s="3" t="s">
        <v>31</v>
      </c>
      <c r="D25" s="6" t="s">
        <v>30</v>
      </c>
      <c r="E25" s="248" t="s">
        <v>29</v>
      </c>
      <c r="F25" s="248"/>
      <c r="G25" s="4">
        <v>3730000000</v>
      </c>
    </row>
    <row r="26" spans="3:10" x14ac:dyDescent="0.35">
      <c r="C26" s="3" t="s">
        <v>6</v>
      </c>
      <c r="D26" s="6" t="s">
        <v>9</v>
      </c>
      <c r="E26" s="248" t="s">
        <v>3</v>
      </c>
      <c r="F26" s="248"/>
      <c r="G26" s="4">
        <v>2822768000</v>
      </c>
    </row>
    <row r="27" spans="3:10" x14ac:dyDescent="0.35">
      <c r="C27" s="3" t="s">
        <v>6</v>
      </c>
      <c r="D27" s="6" t="s">
        <v>48</v>
      </c>
      <c r="E27" s="248" t="s">
        <v>47</v>
      </c>
      <c r="F27" s="248"/>
      <c r="G27" s="4">
        <v>9550982000</v>
      </c>
    </row>
    <row r="28" spans="3:10" x14ac:dyDescent="0.35">
      <c r="C28" s="3" t="s">
        <v>6</v>
      </c>
      <c r="D28" s="6" t="s">
        <v>23</v>
      </c>
      <c r="E28" s="248" t="s">
        <v>19</v>
      </c>
      <c r="F28" s="248"/>
      <c r="G28" s="4">
        <v>2028491000</v>
      </c>
    </row>
    <row r="29" spans="3:10" x14ac:dyDescent="0.35">
      <c r="C29" s="3" t="s">
        <v>6</v>
      </c>
      <c r="D29" s="6" t="s">
        <v>21</v>
      </c>
      <c r="E29" s="248" t="s">
        <v>19</v>
      </c>
      <c r="F29" s="248"/>
      <c r="G29" s="4">
        <v>7983491000</v>
      </c>
    </row>
    <row r="30" spans="3:10" x14ac:dyDescent="0.35">
      <c r="C30" s="3" t="s">
        <v>18</v>
      </c>
      <c r="D30" s="6" t="s">
        <v>17</v>
      </c>
      <c r="E30" s="248" t="s">
        <v>3</v>
      </c>
      <c r="F30" s="248"/>
      <c r="G30" s="4">
        <v>100000000</v>
      </c>
    </row>
    <row r="31" spans="3:10" x14ac:dyDescent="0.35">
      <c r="C31" s="3" t="s">
        <v>15</v>
      </c>
      <c r="D31" s="6" t="s">
        <v>14</v>
      </c>
      <c r="E31" s="248" t="s">
        <v>3</v>
      </c>
      <c r="F31" s="248"/>
      <c r="G31" s="4">
        <v>4864161840</v>
      </c>
    </row>
    <row r="32" spans="3:10" x14ac:dyDescent="0.35">
      <c r="C32" s="249" t="s">
        <v>27</v>
      </c>
      <c r="D32" s="250"/>
      <c r="E32" s="250"/>
      <c r="F32" s="251"/>
      <c r="G32" s="8">
        <f>SUM(G24:G31)</f>
        <v>32529175840</v>
      </c>
    </row>
    <row r="34" spans="3:7" x14ac:dyDescent="0.35">
      <c r="C34" s="12" t="s">
        <v>64</v>
      </c>
    </row>
    <row r="35" spans="3:7" x14ac:dyDescent="0.35">
      <c r="C35" s="9" t="s">
        <v>55</v>
      </c>
      <c r="D35" s="13" t="s">
        <v>56</v>
      </c>
      <c r="E35" s="244" t="s">
        <v>0</v>
      </c>
      <c r="F35" s="244"/>
      <c r="G35" s="9" t="s">
        <v>57</v>
      </c>
    </row>
    <row r="36" spans="3:7" x14ac:dyDescent="0.35">
      <c r="C36" s="6" t="s">
        <v>16</v>
      </c>
      <c r="D36" s="2" t="s">
        <v>5</v>
      </c>
      <c r="E36" s="248" t="s">
        <v>45</v>
      </c>
      <c r="F36" s="248"/>
      <c r="G36" s="2">
        <v>596500000</v>
      </c>
    </row>
    <row r="37" spans="3:7" x14ac:dyDescent="0.35">
      <c r="C37" s="6" t="s">
        <v>16</v>
      </c>
      <c r="D37" s="2" t="s">
        <v>5</v>
      </c>
      <c r="E37" s="248" t="s">
        <v>44</v>
      </c>
      <c r="F37" s="248"/>
      <c r="G37" s="2">
        <v>403500000</v>
      </c>
    </row>
    <row r="38" spans="3:7" x14ac:dyDescent="0.35">
      <c r="C38" s="6" t="s">
        <v>16</v>
      </c>
      <c r="D38" s="2" t="s">
        <v>5</v>
      </c>
      <c r="E38" s="248" t="s">
        <v>36</v>
      </c>
      <c r="F38" s="248"/>
      <c r="G38" s="2">
        <v>900200000</v>
      </c>
    </row>
    <row r="39" spans="3:7" x14ac:dyDescent="0.35">
      <c r="C39" s="6" t="s">
        <v>16</v>
      </c>
      <c r="D39" s="2" t="s">
        <v>5</v>
      </c>
      <c r="E39" s="248" t="s">
        <v>46</v>
      </c>
      <c r="F39" s="248"/>
      <c r="G39" s="2">
        <v>432858000</v>
      </c>
    </row>
    <row r="40" spans="3:7" x14ac:dyDescent="0.35">
      <c r="C40" s="6" t="s">
        <v>16</v>
      </c>
      <c r="D40" s="2" t="s">
        <v>5</v>
      </c>
      <c r="E40" s="248" t="s">
        <v>32</v>
      </c>
      <c r="F40" s="248"/>
      <c r="G40" s="2">
        <v>323006000</v>
      </c>
    </row>
    <row r="41" spans="3:7" x14ac:dyDescent="0.35">
      <c r="C41" s="6" t="s">
        <v>16</v>
      </c>
      <c r="D41" s="2" t="s">
        <v>5</v>
      </c>
      <c r="E41" s="248" t="s">
        <v>28</v>
      </c>
      <c r="F41" s="248"/>
      <c r="G41" s="2">
        <v>1200000000</v>
      </c>
    </row>
    <row r="42" spans="3:7" x14ac:dyDescent="0.35">
      <c r="C42" s="6" t="s">
        <v>16</v>
      </c>
      <c r="D42" s="2" t="s">
        <v>5</v>
      </c>
      <c r="E42" s="248" t="s">
        <v>3</v>
      </c>
      <c r="F42" s="248"/>
      <c r="G42" s="2">
        <v>2214252160</v>
      </c>
    </row>
    <row r="43" spans="3:7" x14ac:dyDescent="0.35">
      <c r="C43" s="6" t="s">
        <v>16</v>
      </c>
      <c r="D43" s="2" t="s">
        <v>5</v>
      </c>
      <c r="E43" s="248" t="s">
        <v>29</v>
      </c>
      <c r="F43" s="248"/>
      <c r="G43" s="2">
        <v>170000000</v>
      </c>
    </row>
    <row r="44" spans="3:7" x14ac:dyDescent="0.35">
      <c r="C44" s="6" t="s">
        <v>16</v>
      </c>
      <c r="D44" s="2" t="s">
        <v>5</v>
      </c>
      <c r="E44" s="248" t="s">
        <v>33</v>
      </c>
      <c r="F44" s="248"/>
      <c r="G44" s="2">
        <v>450718000</v>
      </c>
    </row>
    <row r="45" spans="3:7" x14ac:dyDescent="0.35">
      <c r="C45" s="249" t="s">
        <v>27</v>
      </c>
      <c r="D45" s="250"/>
      <c r="E45" s="250"/>
      <c r="F45" s="251"/>
      <c r="G45" s="8">
        <f>SUM(G36:G44)</f>
        <v>6691034160</v>
      </c>
    </row>
    <row r="47" spans="3:7" x14ac:dyDescent="0.35">
      <c r="C47" s="12" t="s">
        <v>65</v>
      </c>
    </row>
    <row r="48" spans="3:7" x14ac:dyDescent="0.35">
      <c r="C48" s="9" t="s">
        <v>55</v>
      </c>
      <c r="D48" s="13" t="s">
        <v>56</v>
      </c>
      <c r="E48" s="244" t="s">
        <v>0</v>
      </c>
      <c r="F48" s="244"/>
      <c r="G48" s="9" t="s">
        <v>57</v>
      </c>
    </row>
    <row r="49" spans="3:7" x14ac:dyDescent="0.35">
      <c r="C49" s="6" t="s">
        <v>39</v>
      </c>
      <c r="D49" s="2" t="s">
        <v>41</v>
      </c>
      <c r="E49" s="248" t="s">
        <v>36</v>
      </c>
      <c r="F49" s="248"/>
      <c r="G49" s="6">
        <v>575315000</v>
      </c>
    </row>
    <row r="50" spans="3:7" x14ac:dyDescent="0.35">
      <c r="C50" s="6" t="s">
        <v>39</v>
      </c>
      <c r="D50" s="2" t="s">
        <v>38</v>
      </c>
      <c r="E50" s="248" t="s">
        <v>36</v>
      </c>
      <c r="F50" s="248"/>
      <c r="G50" s="6">
        <v>2724485000</v>
      </c>
    </row>
    <row r="51" spans="3:7" x14ac:dyDescent="0.35">
      <c r="C51" s="249" t="s">
        <v>27</v>
      </c>
      <c r="D51" s="250"/>
      <c r="E51" s="250"/>
      <c r="F51" s="251"/>
      <c r="G51" s="7">
        <f>SUM(G49:G50)</f>
        <v>3299800000</v>
      </c>
    </row>
    <row r="54" spans="3:7" x14ac:dyDescent="0.35">
      <c r="C54" s="14"/>
      <c r="D54" s="14"/>
      <c r="E54" s="247" t="s">
        <v>58</v>
      </c>
      <c r="F54" s="247"/>
      <c r="G54" s="247"/>
    </row>
    <row r="56" spans="3:7" x14ac:dyDescent="0.35">
      <c r="E56" s="12" t="s">
        <v>63</v>
      </c>
    </row>
    <row r="57" spans="3:7" x14ac:dyDescent="0.35">
      <c r="E57" s="244" t="s">
        <v>61</v>
      </c>
      <c r="F57" s="244"/>
      <c r="G57" s="9" t="s">
        <v>57</v>
      </c>
    </row>
    <row r="58" spans="3:7" x14ac:dyDescent="0.35">
      <c r="E58" s="245" t="s">
        <v>10</v>
      </c>
      <c r="F58" s="245"/>
      <c r="G58" s="6">
        <v>2490000000</v>
      </c>
    </row>
    <row r="59" spans="3:7" x14ac:dyDescent="0.35">
      <c r="E59" s="245" t="s">
        <v>22</v>
      </c>
      <c r="F59" s="245"/>
      <c r="G59" s="6">
        <v>1400000000</v>
      </c>
    </row>
    <row r="60" spans="3:7" x14ac:dyDescent="0.35">
      <c r="E60" s="245" t="s">
        <v>26</v>
      </c>
      <c r="F60" s="245"/>
      <c r="G60" s="6">
        <v>60000000</v>
      </c>
    </row>
    <row r="61" spans="3:7" x14ac:dyDescent="0.35">
      <c r="E61" s="245" t="s">
        <v>11</v>
      </c>
      <c r="F61" s="245"/>
      <c r="G61" s="6">
        <v>12229155840</v>
      </c>
    </row>
    <row r="62" spans="3:7" x14ac:dyDescent="0.35">
      <c r="E62" s="245" t="s">
        <v>24</v>
      </c>
      <c r="F62" s="245"/>
      <c r="G62" s="6">
        <v>375000000</v>
      </c>
    </row>
    <row r="63" spans="3:7" x14ac:dyDescent="0.35">
      <c r="E63" s="245" t="s">
        <v>7</v>
      </c>
      <c r="F63" s="245"/>
      <c r="G63" s="6">
        <v>92758400</v>
      </c>
    </row>
    <row r="64" spans="3:7" x14ac:dyDescent="0.35">
      <c r="E64" s="245" t="s">
        <v>25</v>
      </c>
      <c r="F64" s="245"/>
      <c r="G64" s="6">
        <v>120000000</v>
      </c>
    </row>
    <row r="65" spans="5:7" x14ac:dyDescent="0.35">
      <c r="E65" s="245" t="s">
        <v>4</v>
      </c>
      <c r="F65" s="245"/>
      <c r="G65" s="6">
        <v>10259061600</v>
      </c>
    </row>
    <row r="66" spans="5:7" x14ac:dyDescent="0.35">
      <c r="E66" s="245" t="s">
        <v>13</v>
      </c>
      <c r="F66" s="245"/>
      <c r="G66" s="6">
        <v>500000000</v>
      </c>
    </row>
    <row r="67" spans="5:7" x14ac:dyDescent="0.35">
      <c r="E67" s="245" t="s">
        <v>12</v>
      </c>
      <c r="F67" s="245"/>
      <c r="G67" s="6">
        <v>100000000</v>
      </c>
    </row>
    <row r="68" spans="5:7" x14ac:dyDescent="0.35">
      <c r="E68" s="245" t="s">
        <v>20</v>
      </c>
      <c r="F68" s="245"/>
      <c r="G68" s="6">
        <v>4350000000</v>
      </c>
    </row>
    <row r="69" spans="5:7" x14ac:dyDescent="0.35">
      <c r="E69" s="245" t="s">
        <v>8</v>
      </c>
      <c r="F69" s="245"/>
      <c r="G69" s="6">
        <v>553200000</v>
      </c>
    </row>
    <row r="70" spans="5:7" x14ac:dyDescent="0.35">
      <c r="E70" s="246" t="s">
        <v>27</v>
      </c>
      <c r="F70" s="246"/>
      <c r="G70" s="7">
        <f>SUM(G58:G69)</f>
        <v>32529175840</v>
      </c>
    </row>
    <row r="72" spans="5:7" x14ac:dyDescent="0.35">
      <c r="E72" s="12" t="s">
        <v>64</v>
      </c>
    </row>
    <row r="73" spans="5:7" x14ac:dyDescent="0.35">
      <c r="E73" s="244" t="s">
        <v>61</v>
      </c>
      <c r="F73" s="244"/>
      <c r="G73" s="9" t="s">
        <v>57</v>
      </c>
    </row>
    <row r="74" spans="5:7" x14ac:dyDescent="0.35">
      <c r="E74" s="245" t="s">
        <v>7</v>
      </c>
      <c r="F74" s="245"/>
      <c r="G74" s="6">
        <v>1177022750</v>
      </c>
    </row>
    <row r="75" spans="5:7" x14ac:dyDescent="0.35">
      <c r="E75" s="245" t="s">
        <v>4</v>
      </c>
      <c r="F75" s="245"/>
      <c r="G75" s="6">
        <v>5514011410</v>
      </c>
    </row>
    <row r="76" spans="5:7" x14ac:dyDescent="0.35">
      <c r="E76" s="246" t="s">
        <v>27</v>
      </c>
      <c r="F76" s="246"/>
      <c r="G76" s="7">
        <f>SUM(G74:G75)</f>
        <v>6691034160</v>
      </c>
    </row>
    <row r="79" spans="5:7" x14ac:dyDescent="0.35">
      <c r="E79" s="12" t="s">
        <v>65</v>
      </c>
    </row>
    <row r="80" spans="5:7" x14ac:dyDescent="0.35">
      <c r="E80" s="244" t="s">
        <v>61</v>
      </c>
      <c r="F80" s="244"/>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46" t="s">
        <v>27</v>
      </c>
      <c r="F86" s="246"/>
      <c r="G86" s="7">
        <f>SUM(G81:G85)</f>
        <v>3299800000</v>
      </c>
    </row>
  </sheetData>
  <mergeCells count="60">
    <mergeCell ref="E6:F6"/>
    <mergeCell ref="E7:F7"/>
    <mergeCell ref="E8:F8"/>
    <mergeCell ref="E9:F9"/>
    <mergeCell ref="E10:F10"/>
    <mergeCell ref="E11:F11"/>
    <mergeCell ref="E12:F12"/>
    <mergeCell ref="E13:F13"/>
    <mergeCell ref="E14:F14"/>
    <mergeCell ref="E15:F15"/>
    <mergeCell ref="E16:F16"/>
    <mergeCell ref="E26:F26"/>
    <mergeCell ref="E23:F23"/>
    <mergeCell ref="E24:F24"/>
    <mergeCell ref="E25:F25"/>
    <mergeCell ref="E17:F17"/>
    <mergeCell ref="C20:G20"/>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80:F80"/>
    <mergeCell ref="E64:F64"/>
    <mergeCell ref="E86:F86"/>
    <mergeCell ref="E66:F66"/>
    <mergeCell ref="E67:F67"/>
    <mergeCell ref="E68:F68"/>
    <mergeCell ref="E69:F69"/>
    <mergeCell ref="E70:F70"/>
    <mergeCell ref="E73:F73"/>
    <mergeCell ref="E74:F74"/>
    <mergeCell ref="E75:F75"/>
    <mergeCell ref="E76:F7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2.xml><?xml version="1.0" encoding="utf-8"?>
<ds:datastoreItem xmlns:ds="http://schemas.openxmlformats.org/officeDocument/2006/customXml" ds:itemID="{F46C19F8-7026-4C1D-A03A-C78DB94D6FE1}">
  <ds:schemaRefs>
    <ds:schemaRef ds:uri="http://schemas.microsoft.com/sharepoint/v3/contenttype/forms"/>
  </ds:schemaRefs>
</ds:datastoreItem>
</file>

<file path=customXml/itemProps3.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ab5177a-e531-42f5-a585-5d27851768fb}" enabled="0" method="" siteId="{dab5177a-e531-42f5-a585-5d27851768f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24</vt:lpstr>
      <vt:lpstr>PAA VR24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2026-10-08T20:46:32Z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